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tables/table1.xml" ContentType="application/vnd.openxmlformats-officedocument.spreadsheetml.table+xml"/>
  <Override PartName="/xl/comments14.xml" ContentType="application/vnd.openxmlformats-officedocument.spreadsheetml.comments+xml"/>
  <Override PartName="/xl/drawings/drawing17.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15.xml" ContentType="application/vnd.openxmlformats-officedocument.spreadsheetml.comments+xml"/>
  <Override PartName="/xl/drawings/drawing18.xml" ContentType="application/vnd.openxmlformats-officedocument.drawing+xml"/>
  <Override PartName="/xl/tables/table7.xml" ContentType="application/vnd.openxmlformats-officedocument.spreadsheetml.table+xml"/>
  <Override PartName="/xl/comments16.xml" ContentType="application/vnd.openxmlformats-officedocument.spreadsheetml.comments+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DieseArbeitsmappe"/>
  <mc:AlternateContent xmlns:mc="http://schemas.openxmlformats.org/markup-compatibility/2006">
    <mc:Choice Requires="x15">
      <x15ac:absPath xmlns:x15ac="http://schemas.microsoft.com/office/spreadsheetml/2010/11/ac" url="\\s1fr\ps-fr\_projekte\3210414_83414_UBA_Beschaffung_KSG_u_KrWG\4_Arbeitspakete\1.4_THG-Emissionen_Berechnungen\Notebooks\LCC-CO2_Testversion_Berechnungen\"/>
    </mc:Choice>
  </mc:AlternateContent>
  <xr:revisionPtr revIDLastSave="0" documentId="13_ncr:1_{E5DF6800-C7EF-47C5-9239-7B1FB5793F47}" xr6:coauthVersionLast="47" xr6:coauthVersionMax="47" xr10:uidLastSave="{00000000-0000-0000-0000-000000000000}"/>
  <bookViews>
    <workbookView xWindow="-110" yWindow="-110" windowWidth="19420" windowHeight="10420" tabRatio="897" firstSheet="8" activeTab="11" xr2:uid="{00000000-000D-0000-FFFF-FFFF00000000}"/>
  </bookViews>
  <sheets>
    <sheet name="Aufbau LCC-CO2-Tool" sheetId="25" r:id="rId1"/>
    <sheet name="Anleitung für Beschaffende" sheetId="3" r:id="rId2"/>
    <sheet name="Anleitung für Bietende" sheetId="27" r:id="rId3"/>
    <sheet name="alt_Anleitung für Bietende" sheetId="23" state="hidden" r:id="rId4"/>
    <sheet name="Punktevergabe Übersicht" sheetId="20" r:id="rId5"/>
    <sheet name="Punktevergabe Details" sheetId="21" r:id="rId6"/>
    <sheet name="Einmalkosten" sheetId="14" r:id="rId7"/>
    <sheet name="Transport+Installationskosten" sheetId="18" r:id="rId8"/>
    <sheet name="Laufende Kosten" sheetId="19" r:id="rId9"/>
    <sheet name="Investitionsrechnung" sheetId="22" r:id="rId10"/>
    <sheet name="THG-Emissionen mit Zertifikat" sheetId="2" r:id="rId11"/>
    <sheet name="Ergebnis LCC inkl. CO2-Kosten" sheetId="4" r:id="rId12"/>
    <sheet name="THG-Emissionen ohne Zertifikat" sheetId="1" r:id="rId13"/>
    <sheet name="Ergebnis LCC ohne CO2-Kosten" sheetId="24" r:id="rId14"/>
    <sheet name="Produktion" sheetId="5" r:id="rId15"/>
    <sheet name="Transport + Installation" sheetId="6" r:id="rId16"/>
    <sheet name="Nutzung" sheetId="7" r:id="rId17"/>
    <sheet name="Emissionsfaktoren_Stoffe" sheetId="8" r:id="rId18"/>
    <sheet name="Emissionsfaktoren_Prozesse" sheetId="9" r:id="rId19"/>
    <sheet name="Emissionsfaktoren_Lebenszyklus" sheetId="10" r:id="rId20"/>
    <sheet name="Impressum" sheetId="11" r:id="rId21"/>
  </sheets>
  <definedNames>
    <definedName name="_xlnm._FilterDatabase" localSheetId="18" hidden="1">Emissionsfaktoren_Prozesse!$D$2:$T$29</definedName>
    <definedName name="_xlnm.Print_Area" localSheetId="3">'alt_Anleitung für Bietende'!$B$1:$T$116</definedName>
    <definedName name="_xlnm.Print_Area" localSheetId="1">'Anleitung für Beschaffende'!$A$1:$A$54</definedName>
    <definedName name="_xlnm.Print_Area" localSheetId="2">'Anleitung für Bietende'!$A$1:$A$51</definedName>
    <definedName name="_xlnm.Print_Area" localSheetId="0">'Aufbau LCC-CO2-Tool'!$A$1:$G$22</definedName>
    <definedName name="_xlnm.Print_Area" localSheetId="6">Einmalkosten!$A$1:$I$35</definedName>
    <definedName name="_xlnm.Print_Area" localSheetId="11">'Ergebnis LCC inkl. CO2-Kosten'!$A$1:$R$47</definedName>
    <definedName name="_xlnm.Print_Area" localSheetId="13">'Ergebnis LCC ohne CO2-Kosten'!$A$1:$R$47</definedName>
    <definedName name="_xlnm.Print_Area" localSheetId="20">Impressum!$A$1:$E$11</definedName>
    <definedName name="_xlnm.Print_Area" localSheetId="9">Investitionsrechnung!$A$1:$G$20</definedName>
    <definedName name="_xlnm.Print_Area" localSheetId="8">'Laufende Kosten'!$A$1:$K$77</definedName>
    <definedName name="_xlnm.Print_Area" localSheetId="5">'Punktevergabe Details'!$A$1:$J$35</definedName>
    <definedName name="_xlnm.Print_Area" localSheetId="4">'Punktevergabe Übersicht'!$A$1:$I$44</definedName>
    <definedName name="_xlnm.Print_Area" localSheetId="10">'THG-Emissionen mit Zertifikat'!$A$1:$K$98</definedName>
    <definedName name="_xlnm.Print_Area" localSheetId="12">'THG-Emissionen ohne Zertifikat'!$A$1:$L$127</definedName>
    <definedName name="_xlnm.Print_Area" localSheetId="7">'Transport+Installationskosten'!$A$1:$G$23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6" i="19" l="1"/>
  <c r="G15" i="14"/>
  <c r="G14" i="14"/>
  <c r="G13" i="14"/>
  <c r="G12" i="14"/>
  <c r="F98" i="1"/>
  <c r="G103" i="1" l="1"/>
  <c r="G102" i="1"/>
  <c r="G16" i="14"/>
  <c r="N7" i="24"/>
  <c r="G33" i="20"/>
  <c r="F33" i="20"/>
  <c r="G94" i="2" l="1"/>
  <c r="G92" i="2"/>
  <c r="G90" i="2"/>
  <c r="G88" i="2"/>
  <c r="G86" i="2"/>
  <c r="G84" i="2"/>
  <c r="G82" i="2"/>
  <c r="G80" i="2"/>
  <c r="H123" i="1"/>
  <c r="H121" i="1"/>
  <c r="H119" i="1"/>
  <c r="H117" i="1"/>
  <c r="H115" i="1"/>
  <c r="H113" i="1"/>
  <c r="H111" i="1"/>
  <c r="H109" i="1"/>
  <c r="H89" i="1"/>
  <c r="H87" i="1"/>
  <c r="H85" i="1"/>
  <c r="H83" i="1"/>
  <c r="H81" i="1"/>
  <c r="H79" i="1"/>
  <c r="H77" i="1"/>
  <c r="N6" i="24"/>
  <c r="D6" i="24"/>
  <c r="N7" i="4"/>
  <c r="N6" i="4"/>
  <c r="D6" i="4"/>
  <c r="H8" i="21"/>
  <c r="F7" i="20"/>
  <c r="F32" i="20" l="1"/>
  <c r="G32" i="20"/>
  <c r="H51" i="19"/>
  <c r="H53" i="19"/>
  <c r="H55" i="19"/>
  <c r="H66" i="19"/>
  <c r="E70" i="2"/>
  <c r="F70" i="2"/>
  <c r="F99" i="1"/>
  <c r="G99" i="1"/>
  <c r="G73" i="2" l="1"/>
  <c r="G74" i="2"/>
  <c r="G75" i="2"/>
  <c r="H102" i="1" l="1"/>
  <c r="G61" i="2"/>
  <c r="G53" i="2"/>
  <c r="G55" i="2"/>
  <c r="G57" i="2"/>
  <c r="G59" i="2"/>
  <c r="G51" i="2"/>
  <c r="G49" i="2" l="1"/>
  <c r="E11" i="18"/>
  <c r="G19" i="21"/>
  <c r="G20" i="21"/>
  <c r="G21" i="21"/>
  <c r="G22" i="21"/>
  <c r="G23" i="21"/>
  <c r="G24" i="21"/>
  <c r="G25" i="21"/>
  <c r="G18" i="21"/>
  <c r="G26" i="21" l="1"/>
  <c r="F23" i="20" s="1"/>
  <c r="D14" i="20"/>
  <c r="C26" i="21" s="1"/>
  <c r="C33" i="21" l="1"/>
  <c r="D42" i="19"/>
  <c r="D43" i="19"/>
  <c r="D44" i="19"/>
  <c r="H103" i="1"/>
  <c r="H104" i="1"/>
  <c r="H21" i="1" l="1"/>
  <c r="H16" i="5" l="1"/>
  <c r="M16" i="5" l="1"/>
  <c r="J16" i="5"/>
  <c r="K16" i="5"/>
  <c r="H39" i="1" l="1"/>
  <c r="H37" i="1"/>
  <c r="H35" i="1"/>
  <c r="H33" i="1"/>
  <c r="H31" i="1"/>
  <c r="H29" i="1"/>
  <c r="H27" i="1"/>
  <c r="H25" i="1"/>
  <c r="H23" i="1"/>
  <c r="B107" i="1" l="1"/>
  <c r="B97" i="1"/>
  <c r="B50" i="1"/>
  <c r="B18" i="1"/>
  <c r="B13" i="1"/>
  <c r="D9" i="22" l="1"/>
  <c r="D13" i="20" l="1"/>
  <c r="D20" i="20" s="1"/>
  <c r="D24" i="20" l="1"/>
  <c r="G31" i="21"/>
  <c r="G32" i="21"/>
  <c r="G30" i="21"/>
  <c r="D23" i="20"/>
  <c r="D25" i="20" l="1"/>
  <c r="L28" i="5" l="1"/>
  <c r="H20" i="5" l="1"/>
  <c r="M20" i="5" l="1"/>
  <c r="K20" i="5"/>
  <c r="J20" i="5"/>
  <c r="B78" i="2"/>
  <c r="B42" i="1" l="1"/>
  <c r="I25" i="5"/>
  <c r="I24" i="5"/>
  <c r="H25" i="5"/>
  <c r="H24" i="5"/>
  <c r="M24" i="5" l="1"/>
  <c r="N24" i="5" s="1"/>
  <c r="K24" i="5"/>
  <c r="L24" i="5" s="1"/>
  <c r="K25" i="5"/>
  <c r="L25" i="5" s="1"/>
  <c r="M25" i="5"/>
  <c r="N25" i="5" s="1"/>
  <c r="J25" i="5"/>
  <c r="J24" i="5"/>
  <c r="D13" i="7"/>
  <c r="I23" i="5"/>
  <c r="I22" i="5"/>
  <c r="I21" i="5"/>
  <c r="I20" i="5"/>
  <c r="I19" i="5"/>
  <c r="I18" i="5"/>
  <c r="I17" i="5"/>
  <c r="I16" i="5"/>
  <c r="H23" i="5"/>
  <c r="H22" i="5"/>
  <c r="H21" i="5"/>
  <c r="H19" i="5"/>
  <c r="H18" i="5"/>
  <c r="H17" i="5"/>
  <c r="E17" i="5"/>
  <c r="C11" i="5"/>
  <c r="C10" i="7" l="1"/>
  <c r="C18" i="7"/>
  <c r="M19" i="5"/>
  <c r="N19" i="5" s="1"/>
  <c r="K19" i="5"/>
  <c r="L19" i="5" s="1"/>
  <c r="M21" i="5"/>
  <c r="N21" i="5" s="1"/>
  <c r="K21" i="5"/>
  <c r="L21" i="5" s="1"/>
  <c r="K22" i="5"/>
  <c r="L22" i="5" s="1"/>
  <c r="M22" i="5"/>
  <c r="N22" i="5" s="1"/>
  <c r="M23" i="5"/>
  <c r="N23" i="5" s="1"/>
  <c r="K23" i="5"/>
  <c r="L23" i="5" s="1"/>
  <c r="K18" i="5"/>
  <c r="L18" i="5" s="1"/>
  <c r="M18" i="5"/>
  <c r="N18" i="5" s="1"/>
  <c r="M17" i="5"/>
  <c r="N17" i="5" s="1"/>
  <c r="K17" i="5"/>
  <c r="L17" i="5" s="1"/>
  <c r="N20" i="5"/>
  <c r="L20" i="5"/>
  <c r="J23" i="5"/>
  <c r="J22" i="5"/>
  <c r="J21" i="5"/>
  <c r="J19" i="5"/>
  <c r="J18" i="5"/>
  <c r="J17" i="5"/>
  <c r="L30" i="6"/>
  <c r="F31" i="7"/>
  <c r="E16" i="5"/>
  <c r="L19" i="6"/>
  <c r="M20" i="6"/>
  <c r="M24" i="6"/>
  <c r="C8" i="7"/>
  <c r="D20" i="7"/>
  <c r="C32" i="7"/>
  <c r="F32" i="7"/>
  <c r="L15" i="6"/>
  <c r="M28" i="6"/>
  <c r="M17" i="6"/>
  <c r="D19" i="7"/>
  <c r="C5" i="5"/>
  <c r="L20" i="6"/>
  <c r="L24" i="6"/>
  <c r="M25" i="6"/>
  <c r="C25" i="7"/>
  <c r="F25" i="7"/>
  <c r="D10" i="7"/>
  <c r="G18" i="7" s="1"/>
  <c r="M19" i="6"/>
  <c r="D5" i="5"/>
  <c r="M14" i="6"/>
  <c r="L25" i="6"/>
  <c r="M26" i="6"/>
  <c r="C9" i="7"/>
  <c r="C26" i="7"/>
  <c r="F26" i="7"/>
  <c r="L27" i="6"/>
  <c r="F28" i="7"/>
  <c r="L18" i="6"/>
  <c r="C31" i="7"/>
  <c r="L14" i="6"/>
  <c r="M15" i="6"/>
  <c r="L26" i="6"/>
  <c r="M27" i="6"/>
  <c r="D8" i="7"/>
  <c r="C27" i="7"/>
  <c r="F27" i="7"/>
  <c r="M16" i="6"/>
  <c r="C28" i="7"/>
  <c r="L16" i="6"/>
  <c r="L28" i="6"/>
  <c r="M29" i="6"/>
  <c r="D9" i="7"/>
  <c r="C29" i="7"/>
  <c r="F29" i="7"/>
  <c r="L17" i="6"/>
  <c r="M18" i="6"/>
  <c r="L29" i="6"/>
  <c r="M30" i="6"/>
  <c r="D18" i="7"/>
  <c r="C30" i="7"/>
  <c r="F30" i="7"/>
  <c r="N25" i="6" l="1"/>
  <c r="O25" i="6"/>
  <c r="Q25" i="6"/>
  <c r="N30" i="6"/>
  <c r="Q30" i="6"/>
  <c r="O30" i="6"/>
  <c r="Q24" i="6"/>
  <c r="O24" i="6"/>
  <c r="N24" i="6"/>
  <c r="N27" i="6"/>
  <c r="Q27" i="6"/>
  <c r="O27" i="6"/>
  <c r="N29" i="6"/>
  <c r="Q29" i="6"/>
  <c r="O29" i="6"/>
  <c r="N28" i="6"/>
  <c r="Q28" i="6"/>
  <c r="O28" i="6"/>
  <c r="N26" i="6"/>
  <c r="Q26" i="6"/>
  <c r="O26" i="6"/>
  <c r="H28" i="7"/>
  <c r="G28" i="7"/>
  <c r="G32" i="7"/>
  <c r="H32" i="7"/>
  <c r="H31" i="7"/>
  <c r="G31" i="7"/>
  <c r="H30" i="7"/>
  <c r="G30" i="7"/>
  <c r="G29" i="7"/>
  <c r="H29" i="7"/>
  <c r="H27" i="7"/>
  <c r="G27" i="7"/>
  <c r="H26" i="7"/>
  <c r="G26" i="7"/>
  <c r="H25" i="7"/>
  <c r="G25" i="7"/>
  <c r="F12" i="24"/>
  <c r="F12" i="4"/>
  <c r="E12" i="4"/>
  <c r="E12" i="24"/>
  <c r="E11" i="24"/>
  <c r="N9" i="24" s="1"/>
  <c r="E11" i="4"/>
  <c r="N9" i="4" s="1"/>
  <c r="D10" i="22"/>
  <c r="E10" i="22"/>
  <c r="F11" i="24"/>
  <c r="F11" i="4"/>
  <c r="Q20" i="6"/>
  <c r="O20" i="6"/>
  <c r="N20" i="6"/>
  <c r="Q19" i="6"/>
  <c r="O19" i="6"/>
  <c r="N19" i="6"/>
  <c r="O18" i="6"/>
  <c r="Q18" i="6"/>
  <c r="N18" i="6"/>
  <c r="N17" i="6"/>
  <c r="O17" i="6"/>
  <c r="Q17" i="6"/>
  <c r="N16" i="6"/>
  <c r="O16" i="6"/>
  <c r="Q16" i="6"/>
  <c r="Q15" i="6"/>
  <c r="N15" i="6"/>
  <c r="O15" i="6"/>
  <c r="N14" i="6"/>
  <c r="O14" i="6"/>
  <c r="Q14" i="6"/>
  <c r="L22" i="24" l="1"/>
  <c r="L20" i="24"/>
  <c r="L20" i="4"/>
  <c r="L22" i="4"/>
  <c r="B47" i="2"/>
  <c r="B75" i="1"/>
  <c r="L18" i="24" l="1"/>
  <c r="B68" i="2"/>
  <c r="B30" i="2"/>
  <c r="B22" i="2"/>
  <c r="B13" i="2"/>
  <c r="F3" i="2" l="1"/>
  <c r="B58" i="1"/>
  <c r="G3" i="1" s="1"/>
  <c r="F29" i="21" l="1"/>
  <c r="G29" i="21" s="1"/>
  <c r="G33" i="21" l="1"/>
  <c r="F24" i="20" s="1"/>
  <c r="F25" i="20" s="1"/>
  <c r="H74" i="19"/>
  <c r="H72" i="19"/>
  <c r="H70" i="19"/>
  <c r="H68" i="19"/>
  <c r="G34" i="20" l="1"/>
  <c r="F34" i="20"/>
  <c r="H62" i="19"/>
  <c r="F28" i="20"/>
  <c r="F35" i="20" l="1"/>
  <c r="G35" i="20"/>
  <c r="E37" i="24"/>
  <c r="E37" i="4"/>
  <c r="H63" i="19"/>
  <c r="D16" i="22" s="1"/>
  <c r="H59" i="19"/>
  <c r="H57" i="19"/>
  <c r="F37" i="4" l="1"/>
  <c r="F37" i="24"/>
  <c r="H47" i="19"/>
  <c r="E17" i="18"/>
  <c r="G32" i="14"/>
  <c r="E18" i="24" l="1"/>
  <c r="E18" i="4"/>
  <c r="F42" i="20"/>
  <c r="G42" i="20"/>
  <c r="E35" i="24"/>
  <c r="E35" i="4"/>
  <c r="H48" i="19"/>
  <c r="D15" i="22" s="1"/>
  <c r="E20" i="18"/>
  <c r="L6" i="24" l="1"/>
  <c r="G36" i="20" s="1"/>
  <c r="F35" i="24"/>
  <c r="F35" i="4"/>
  <c r="N22" i="6"/>
  <c r="M6" i="24" l="1"/>
  <c r="C20" i="7"/>
  <c r="C19" i="7"/>
  <c r="E20" i="7" l="1"/>
  <c r="F20" i="7" s="1"/>
  <c r="J20" i="7"/>
  <c r="K20" i="7" s="1"/>
  <c r="H20" i="7"/>
  <c r="I20" i="7" s="1"/>
  <c r="E19" i="7"/>
  <c r="F19" i="7" s="1"/>
  <c r="H19" i="7"/>
  <c r="I19" i="7" s="1"/>
  <c r="J19" i="7"/>
  <c r="K19" i="7" s="1"/>
  <c r="J18" i="7"/>
  <c r="K18" i="7" s="1"/>
  <c r="E18" i="7"/>
  <c r="F18" i="7" s="1"/>
  <c r="H18" i="7"/>
  <c r="I18" i="7" s="1"/>
  <c r="I30" i="7"/>
  <c r="I27" i="7"/>
  <c r="I28" i="7"/>
  <c r="I29" i="7"/>
  <c r="I25" i="7"/>
  <c r="I26" i="7"/>
  <c r="R18" i="6"/>
  <c r="P18" i="6"/>
  <c r="P19" i="6"/>
  <c r="R19" i="6"/>
  <c r="P17" i="6"/>
  <c r="R17" i="6"/>
  <c r="P20" i="6"/>
  <c r="R20" i="6"/>
  <c r="P15" i="6"/>
  <c r="R15" i="6"/>
  <c r="P16" i="6"/>
  <c r="R16" i="6"/>
  <c r="P14" i="6"/>
  <c r="R14" i="6"/>
  <c r="N146" i="9"/>
  <c r="N148" i="9"/>
  <c r="J27" i="8"/>
  <c r="H27" i="8"/>
  <c r="G20" i="7"/>
  <c r="G19" i="7"/>
  <c r="E31" i="6"/>
  <c r="R30" i="6"/>
  <c r="E30" i="6"/>
  <c r="R29" i="6"/>
  <c r="E29" i="6"/>
  <c r="R28" i="6"/>
  <c r="E28" i="6"/>
  <c r="R27" i="6"/>
  <c r="E27" i="6"/>
  <c r="R26" i="6"/>
  <c r="E26" i="6"/>
  <c r="R25" i="6"/>
  <c r="E25" i="6"/>
  <c r="R24" i="6"/>
  <c r="E24" i="6"/>
  <c r="E23" i="6"/>
  <c r="E22" i="6"/>
  <c r="E20" i="6"/>
  <c r="E19" i="6"/>
  <c r="E18" i="6"/>
  <c r="E17" i="6"/>
  <c r="E16" i="6"/>
  <c r="E15" i="6"/>
  <c r="H14" i="6"/>
  <c r="F15" i="6" s="1"/>
  <c r="G15" i="6" s="1"/>
  <c r="F14" i="6"/>
  <c r="G14" i="6" s="1"/>
  <c r="E14" i="6"/>
  <c r="J31" i="5"/>
  <c r="J27" i="5"/>
  <c r="J26" i="5"/>
  <c r="N16" i="5"/>
  <c r="D8" i="5" s="1"/>
  <c r="L16" i="5"/>
  <c r="M40" i="24" l="1"/>
  <c r="M40" i="4"/>
  <c r="M43" i="24"/>
  <c r="M43" i="4"/>
  <c r="L26" i="5"/>
  <c r="F43" i="1" s="1"/>
  <c r="M8" i="6"/>
  <c r="N149" i="9"/>
  <c r="H19" i="19"/>
  <c r="G19" i="19" s="1"/>
  <c r="H17" i="19"/>
  <c r="C5" i="7"/>
  <c r="M5" i="6"/>
  <c r="D5" i="7"/>
  <c r="L5" i="6"/>
  <c r="I32" i="7"/>
  <c r="I31" i="7"/>
  <c r="M42" i="4" s="1"/>
  <c r="I14" i="6"/>
  <c r="H15" i="6"/>
  <c r="C13" i="7" l="1"/>
  <c r="M42" i="24"/>
  <c r="M35" i="24" s="1"/>
  <c r="N35" i="24" s="1"/>
  <c r="M39" i="24"/>
  <c r="M39" i="4"/>
  <c r="G17" i="19"/>
  <c r="P29" i="6"/>
  <c r="P28" i="6"/>
  <c r="P27" i="6"/>
  <c r="P25" i="6"/>
  <c r="P26" i="6"/>
  <c r="P24" i="6"/>
  <c r="P30" i="6"/>
  <c r="H18" i="19"/>
  <c r="M35" i="4"/>
  <c r="H16" i="6"/>
  <c r="I15" i="6"/>
  <c r="F16" i="6"/>
  <c r="G16" i="6" s="1"/>
  <c r="M41" i="24" l="1"/>
  <c r="M34" i="24" s="1"/>
  <c r="N34" i="24" s="1"/>
  <c r="M41" i="4"/>
  <c r="G18" i="19"/>
  <c r="H11" i="19" s="1"/>
  <c r="L8" i="6"/>
  <c r="N35" i="4"/>
  <c r="L18" i="4"/>
  <c r="F17" i="6"/>
  <c r="G17" i="6" s="1"/>
  <c r="H17" i="6"/>
  <c r="I16" i="6"/>
  <c r="G41" i="20" l="1"/>
  <c r="F41" i="20"/>
  <c r="L6" i="4"/>
  <c r="F36" i="20" s="1"/>
  <c r="M6" i="4"/>
  <c r="E33" i="4"/>
  <c r="E28" i="4" s="1"/>
  <c r="E30" i="4" s="1"/>
  <c r="E33" i="24"/>
  <c r="E28" i="24" s="1"/>
  <c r="H12" i="19"/>
  <c r="D14" i="22" s="1"/>
  <c r="H7" i="19"/>
  <c r="H18" i="6"/>
  <c r="I17" i="6"/>
  <c r="F18" i="6"/>
  <c r="G18" i="6" s="1"/>
  <c r="F38" i="20" l="1"/>
  <c r="E30" i="24"/>
  <c r="L9" i="24"/>
  <c r="L12" i="24"/>
  <c r="F33" i="4"/>
  <c r="F28" i="4" s="1"/>
  <c r="F33" i="24"/>
  <c r="F28" i="24" s="1"/>
  <c r="D17" i="22"/>
  <c r="H9" i="19"/>
  <c r="F19" i="6"/>
  <c r="G19" i="6" s="1"/>
  <c r="H19" i="6"/>
  <c r="I18" i="6"/>
  <c r="G38" i="20" l="1"/>
  <c r="M9" i="24"/>
  <c r="M12" i="24"/>
  <c r="F30" i="24"/>
  <c r="F30" i="4"/>
  <c r="D18" i="22"/>
  <c r="D13" i="22"/>
  <c r="H20" i="6"/>
  <c r="I19" i="6"/>
  <c r="F20" i="6"/>
  <c r="G20" i="6" s="1"/>
  <c r="F22" i="6" l="1"/>
  <c r="G22" i="6" s="1"/>
  <c r="H22" i="6"/>
  <c r="I20" i="6"/>
  <c r="H23" i="6" l="1"/>
  <c r="I22" i="6"/>
  <c r="F23" i="6"/>
  <c r="G23" i="6" s="1"/>
  <c r="H24" i="6" l="1"/>
  <c r="I23" i="6"/>
  <c r="F24" i="6"/>
  <c r="G24" i="6" s="1"/>
  <c r="H25" i="6" l="1"/>
  <c r="I24" i="6"/>
  <c r="F25" i="6"/>
  <c r="G25" i="6" s="1"/>
  <c r="F26" i="6" l="1"/>
  <c r="G26" i="6" s="1"/>
  <c r="H26" i="6"/>
  <c r="I25" i="6"/>
  <c r="H27" i="6" l="1"/>
  <c r="I26" i="6"/>
  <c r="F27" i="6"/>
  <c r="G27" i="6" s="1"/>
  <c r="H28" i="6" l="1"/>
  <c r="F28" i="6"/>
  <c r="G28" i="6" s="1"/>
  <c r="I27" i="6"/>
  <c r="H29" i="6" l="1"/>
  <c r="I28" i="6"/>
  <c r="F29" i="6"/>
  <c r="G29" i="6" s="1"/>
  <c r="F30" i="6" l="1"/>
  <c r="G30" i="6" s="1"/>
  <c r="H30" i="6"/>
  <c r="I29" i="6"/>
  <c r="I30" i="6" l="1"/>
  <c r="F31" i="6"/>
  <c r="G31" i="6" s="1"/>
  <c r="H31" i="6"/>
  <c r="I31" i="6" s="1"/>
  <c r="M34" i="4" l="1"/>
  <c r="N34" i="4" l="1"/>
  <c r="L31" i="5" l="1"/>
  <c r="C8" i="5" s="1"/>
  <c r="M38" i="24" l="1"/>
  <c r="M33" i="24" s="1"/>
  <c r="M38" i="4"/>
  <c r="M33" i="4" s="1"/>
  <c r="N33" i="4" l="1"/>
  <c r="M31" i="4"/>
  <c r="M31" i="24"/>
  <c r="N33" i="24"/>
  <c r="N31" i="4" l="1"/>
  <c r="M32" i="4"/>
  <c r="N32" i="4" s="1"/>
  <c r="N31" i="24"/>
  <c r="M32" i="24"/>
  <c r="N32" i="24" s="1"/>
  <c r="L10" i="24" l="1"/>
  <c r="G40" i="20" s="1"/>
  <c r="G39" i="20"/>
  <c r="F39" i="20"/>
  <c r="L9" i="4"/>
  <c r="F40" i="20" s="1"/>
  <c r="M11" i="4"/>
  <c r="M9" i="4"/>
  <c r="L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J4" authorId="0" shapeId="0" xr:uid="{78705AA3-480E-44FB-B6C8-F2E94E6A09E7}">
      <text>
        <r>
          <rPr>
            <b/>
            <sz val="9"/>
            <color indexed="81"/>
            <rFont val="Segoe UI"/>
            <family val="2"/>
          </rPr>
          <t>Tabellenblätter "Punktevergabe Übersicht" | "Punktevergabe Details"</t>
        </r>
        <r>
          <rPr>
            <sz val="9"/>
            <color indexed="81"/>
            <rFont val="Segoe UI"/>
            <charset val="1"/>
          </rPr>
          <t xml:space="preserve">
Tragen Sie auf der linken Seite das Punktevergabeschema für Ihre Ausschreibung ein (auf der rechten Seite nehmen Sie die Bewertung nach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Angebotsbewertung: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text>
    </comment>
    <comment ref="J5" authorId="0" shapeId="0" xr:uid="{E31C105F-D449-4560-A600-5CF11DF1041C}">
      <text>
        <r>
          <rPr>
            <b/>
            <sz val="9"/>
            <color indexed="81"/>
            <rFont val="Segoe UI"/>
            <family val="2"/>
          </rPr>
          <t>Tabellenblätter "Punktevergabe Übersicht" | "Punktevergabe Details"</t>
        </r>
        <r>
          <rPr>
            <sz val="9"/>
            <color indexed="81"/>
            <rFont val="Segoe UI"/>
            <family val="2"/>
          </rPr>
          <t xml:space="preserve">
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4" authorId="0" shapeId="0" xr:uid="{7CB355CD-4128-426E-9303-F32C33770AC8}">
      <text>
        <r>
          <rPr>
            <b/>
            <sz val="9"/>
            <color indexed="81"/>
            <rFont val="Segoe UI"/>
            <family val="2"/>
          </rPr>
          <t>Tabellenblätter "Ergebnis LCC inkl. CO2-Kosten" | "Ergebnis LCC ohne CO2-Kosten"</t>
        </r>
        <r>
          <rPr>
            <sz val="9"/>
            <color indexed="81"/>
            <rFont val="Segoe UI"/>
            <family val="2"/>
          </rPr>
          <t xml:space="preserve">
Legen Sie für Ihre Ausschreibung fest, in welcher Form Sie die CO2-Kosten der prognostizierten Treibhausgasemissionen bei der Angebotsbewertung berücksichtigen werden. 
</t>
        </r>
        <r>
          <rPr>
            <u/>
            <sz val="9"/>
            <color indexed="81"/>
            <rFont val="Segoe UI"/>
            <family val="2"/>
          </rPr>
          <t>Im Regelfall</t>
        </r>
        <r>
          <rPr>
            <sz val="9"/>
            <color indexed="81"/>
            <rFont val="Segoe UI"/>
            <family val="2"/>
          </rPr>
          <t xml:space="preserve"> sollten die CO2-Kosten Teil der gesamten Lebenszykluskosten sein. In diesem Fall nutzen Sie das Tabellenblatt "Ergebnis LCC inkl. CO2-Kosten", </t>
        </r>
        <r>
          <rPr>
            <b/>
            <sz val="9"/>
            <color indexed="81"/>
            <rFont val="Segoe UI"/>
            <family val="2"/>
          </rPr>
          <t>löschen das Tabellenblatt "Ergebnis LCC ohne CO2-Kosten"</t>
        </r>
        <r>
          <rPr>
            <sz val="9"/>
            <color indexed="81"/>
            <rFont val="Segoe UI"/>
            <family val="2"/>
          </rPr>
          <t xml:space="preserve"> und leeren auf dem Tabellenblatt "Punktevergabe Übersicht" die Zellen G31-G41, bevor Sie die Datei extern mit den Ausschreibungsunterlagen zur Verfügung stellen. 
</t>
        </r>
        <r>
          <rPr>
            <u/>
            <sz val="9"/>
            <color indexed="81"/>
            <rFont val="Segoe UI"/>
            <family val="2"/>
          </rPr>
          <t>Alternativ</t>
        </r>
        <r>
          <rPr>
            <sz val="9"/>
            <color indexed="81"/>
            <rFont val="Segoe UI"/>
            <family val="2"/>
          </rPr>
          <t xml:space="preserve"> können Sie die Lebenszykluskosten ohne CO2-Kosten berechnen und stattdessen die CO2-Kosten als Ökologisches Zuschlagskriterium in die Bewertung einbeziehen. In diesem Fall legen Sie im Tabellenblatt "Punktevergabe Detail" ein entsprechendes Kriterium mit Punktzahl und Gewichtung fest. Sie nutzen dann das Tabellenblatt "Ergebnis LCC ohne CO2-Kosten", </t>
        </r>
        <r>
          <rPr>
            <b/>
            <sz val="9"/>
            <color indexed="81"/>
            <rFont val="Segoe UI"/>
            <family val="2"/>
          </rPr>
          <t>löschen das Tabellenblatt "Ergebnis LCC inkl. CO2-Kosten"</t>
        </r>
        <r>
          <rPr>
            <sz val="9"/>
            <color indexed="81"/>
            <rFont val="Segoe UI"/>
            <family val="2"/>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Nutzungsdauer der zu beschaffenden Ware abweichen), sofern relevant eine Laufzeitoption (zusätzlicher Optionszeitraum in Jahren), und den anzusetzenden CO2-Preis ein. 
</t>
        </r>
        <r>
          <rPr>
            <u/>
            <sz val="9"/>
            <color indexed="81"/>
            <rFont val="Segoe UI"/>
            <family val="2"/>
          </rPr>
          <t>CO2-Preis</t>
        </r>
        <r>
          <rPr>
            <sz val="9"/>
            <color indexed="81"/>
            <rFont val="Segoe UI"/>
            <family val="2"/>
          </rPr>
          <t>: Liegt keine hausinterne Vorgabe vor, können Sie für den Nutzungszeitraum der zu beschaffenden Ware bis einschließlich des Jahres 2026 die CO2-Preise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text>
    </comment>
    <comment ref="F5" authorId="0" shapeId="0" xr:uid="{9263AAD4-F529-4BA5-8F78-7CE8C3BE294C}">
      <text>
        <r>
          <rPr>
            <b/>
            <sz val="9"/>
            <color indexed="81"/>
            <rFont val="Segoe UI"/>
            <family val="2"/>
          </rPr>
          <t xml:space="preserve">Tabellenblätter "Ergebnis LCC inkl. CO2-Kosten" | "Ergebnis LCC ohne CO2-Kosten"
</t>
        </r>
        <r>
          <rPr>
            <sz val="9"/>
            <color indexed="81"/>
            <rFont val="Segoe UI"/>
            <family val="2"/>
          </rPr>
          <t xml:space="preserve">In diesem Blatt sind nur Einträge durch die Beschaffungsstelle vorgesehen. </t>
        </r>
        <r>
          <rPr>
            <b/>
            <sz val="9"/>
            <color indexed="81"/>
            <rFont val="Segoe UI"/>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G6" authorId="0" shapeId="0" xr:uid="{3A14E742-9E17-415B-BBC1-C45AE5C2AD09}">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G7" authorId="0" shapeId="0" xr:uid="{A98080B3-4587-4185-85E7-72260B0FEDFB}">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O6" authorId="0" shapeId="0" xr:uid="{896989F8-EFE2-49CE-916B-3FDA2D1B5FB7}">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O7" authorId="0" shapeId="0" xr:uid="{20609F49-F331-4BCA-AB38-9FA0ED8B7911}">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6" authorId="0" shapeId="0" xr:uid="{10463A82-99F8-4412-9A0F-B19051ECC471}">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F7" authorId="0" shapeId="0" xr:uid="{8E17B8B8-5DAA-4A73-A862-AD83860CFA6F}">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P5" authorId="0" shapeId="0" xr:uid="{0A966E21-D0B2-434C-BFBA-D9714492FA1E}">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P6" authorId="0" shapeId="0" xr:uid="{70DAA2F9-4B7A-4414-8B2D-DAC885E5C3E8}">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V6" authorId="0" shapeId="0" xr:uid="{1D81C932-8F24-4697-BCC4-8A864CE0A2CC}">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V7" authorId="0" shapeId="0" xr:uid="{ECEB45E4-043C-4F98-8DDA-C06293395BCD}">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B20" authorId="0" shapeId="0" xr:uid="{E86BAECA-1B41-47A4-B92A-181F3EBFC479}">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B21" authorId="0" shapeId="0" xr:uid="{FF0D4ABD-A77D-4268-9E2D-79F4C9983744}">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K4" authorId="0" shapeId="0" xr:uid="{1AEB4B95-BD58-4525-BDEE-8D387340A8D4}">
      <text>
        <r>
          <rPr>
            <b/>
            <sz val="9"/>
            <color indexed="81"/>
            <rFont val="Segoe UI"/>
            <family val="2"/>
          </rPr>
          <t>Tabellenblätter "Punktevergabe Übersicht" | "Punktevergabe Details"</t>
        </r>
        <r>
          <rPr>
            <sz val="9"/>
            <color indexed="81"/>
            <rFont val="Segoe UI"/>
            <charset val="1"/>
          </rPr>
          <t xml:space="preserve">
Tragen Sie auf der linken Seite das Punktevergabeschema für Ihre Ausschreibung ein (auf der rechten Seite nehmen Sie die Bewertung nach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Angebotsbewertung: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text>
    </comment>
    <comment ref="K5" authorId="0" shapeId="0" xr:uid="{09ACFF2C-AEAB-416C-A30C-396D03314AD2}">
      <text>
        <r>
          <rPr>
            <b/>
            <sz val="9"/>
            <color indexed="81"/>
            <rFont val="Segoe UI"/>
            <family val="2"/>
          </rPr>
          <t>Tabellenblätter "Punktevergabe Übersicht" | "Punktevergabe Details"</t>
        </r>
        <r>
          <rPr>
            <sz val="9"/>
            <color indexed="81"/>
            <rFont val="Segoe UI"/>
            <family val="2"/>
          </rPr>
          <t xml:space="preserve">
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G5" authorId="0" shapeId="0" xr:uid="{125F38F9-B095-42F7-B716-9E4C44A96932}">
      <text>
        <r>
          <rPr>
            <b/>
            <sz val="9"/>
            <color indexed="81"/>
            <rFont val="Segoe UI"/>
            <family val="2"/>
          </rPr>
          <t>Tabellenblatt "Einmalkosten"</t>
        </r>
        <r>
          <rPr>
            <sz val="9"/>
            <color indexed="81"/>
            <rFont val="Segoe UI"/>
            <family val="2"/>
          </rPr>
          <t xml:space="preserve">
Hier tragen Sie die Detailanforderungen an die zu beschaffende Ware ein ("Lastenheft")</t>
        </r>
      </text>
    </comment>
    <comment ref="G6" authorId="0" shapeId="0" xr:uid="{C8634D1B-746B-4945-9B9F-B409EF8AC737}">
      <text>
        <r>
          <rPr>
            <b/>
            <sz val="9"/>
            <color indexed="81"/>
            <rFont val="Segoe UI"/>
            <family val="2"/>
          </rPr>
          <t>Tabellenblatt "Einmalkosten"</t>
        </r>
        <r>
          <rPr>
            <sz val="9"/>
            <color indexed="81"/>
            <rFont val="Segoe UI"/>
            <family val="2"/>
          </rPr>
          <t xml:space="preserve">
Hier tragen finden Sie die Detailanforderungen an die zu beschaffende Ware ("Lastenheft"). 
Als Bietende tragen Sie zunächst Ihre Firmenbezeichnung, den Hersteller und die Typenbezeichnung Ihrer angebotenen Ware, sowie die Nettoangebotspreise (ggf. unter Angabe der spezifischen Hersteller und Typenbezeichnungen) der jeweiligen Einzelpositionen ein.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H4" authorId="0" shapeId="0" xr:uid="{85C669D2-8888-430B-8BB2-D76608480927}">
      <text>
        <r>
          <rPr>
            <b/>
            <sz val="9"/>
            <color indexed="81"/>
            <rFont val="Segoe UI"/>
            <family val="2"/>
          </rPr>
          <t>Tabellenblatt "Transport+Installationskosten"</t>
        </r>
        <r>
          <rPr>
            <sz val="9"/>
            <color indexed="81"/>
            <rFont val="Segoe UI"/>
            <family val="2"/>
          </rPr>
          <t xml:space="preserve">
In diesem Blatt sind nur Einträge durch die Bietenden vorgesehen. </t>
        </r>
      </text>
    </comment>
    <comment ref="H5" authorId="0" shapeId="0" xr:uid="{1538EA94-2B7B-465E-B853-B548F2C76749}">
      <text>
        <r>
          <rPr>
            <b/>
            <sz val="9"/>
            <color indexed="81"/>
            <rFont val="Segoe UI"/>
            <family val="2"/>
          </rPr>
          <t>Tabellenblatt "Transport+Installationskosten"</t>
        </r>
        <r>
          <rPr>
            <sz val="9"/>
            <color indexed="81"/>
            <rFont val="Segoe UI"/>
            <family val="2"/>
          </rPr>
          <t xml:space="preserve">
In diesem Blatt spezifizieren Sie Transportkostenanteile und Installationskostenanteile und tragen die jeweils damit verbundenen Einzelpreise bezogen auf </t>
        </r>
        <r>
          <rPr>
            <u/>
            <sz val="9"/>
            <color indexed="81"/>
            <rFont val="Segoe UI"/>
            <family val="2"/>
          </rPr>
          <t>eine</t>
        </r>
        <r>
          <rPr>
            <sz val="9"/>
            <color indexed="81"/>
            <rFont val="Segoe UI"/>
            <family val="2"/>
          </rPr>
          <t xml:space="preserve"> funktionelle Einheit der anzubietenden Ware ein. 
Im Ergebnistabellenblatt werden die Transport- und Installationskosten auf die Gesamtmenge der angebotenen Waren (Anzahl funktioneller Einheiten) hochgerechnet.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L4" authorId="0" shapeId="0" xr:uid="{D91BBF7B-7070-424E-96FF-FA64BEC391A2}">
      <text>
        <r>
          <rPr>
            <b/>
            <sz val="9"/>
            <color indexed="81"/>
            <rFont val="Segoe UI"/>
            <family val="2"/>
          </rPr>
          <t>Tabellenblatt "Laufende Kosten"</t>
        </r>
        <r>
          <rPr>
            <sz val="9"/>
            <color indexed="81"/>
            <rFont val="Segoe UI"/>
            <family val="2"/>
          </rPr>
          <t xml:space="preserve">
Hier tragen Sie - sofern für die zu beschaffende Ware relevant - Ihre aktuellen Preise für die zu nutzenden Energieträger ein. </t>
        </r>
      </text>
    </comment>
    <comment ref="L5" authorId="0" shapeId="0" xr:uid="{1C67A8B9-B6D6-4FCB-99E1-73850CACFBC2}">
      <text>
        <r>
          <rPr>
            <b/>
            <sz val="9"/>
            <color indexed="81"/>
            <rFont val="Segoe UI"/>
            <family val="2"/>
          </rPr>
          <t>Tabellenblatt "Laufende Kosten"</t>
        </r>
        <r>
          <rPr>
            <sz val="9"/>
            <color indexed="81"/>
            <rFont val="Segoe UI"/>
            <family val="2"/>
          </rPr>
          <t xml:space="preserve">
Laufende Kosten können Kosten für Energie-, Treibstoff- oder Wärmebedarf während der Nutzungsdauer der zu beschaffenden Ware sein. Die Beschaffungsstelle gibt in diesem Blatt - sofern für die zu beschaffende Ware relevant - die anzusetzenden Preise für die zu nutzenden Energieträger ein. Auf Basis Ihrer Angaben zum Verbrauch im Tabellenblatt "THG-Emissionen mit/ohne Zertifikat" werden die resultierenden laufenden Verbrauchskosten hier automatisch berechnet. 
Im mittleren Teil des Tabellenblatts tragen Sie als Bietende - sofern für die anzubietende Ware relevant - die  Wartungstätigkeiten ein, die </t>
        </r>
        <r>
          <rPr>
            <u/>
            <sz val="9"/>
            <color indexed="81"/>
            <rFont val="Segoe UI"/>
            <family val="2"/>
          </rPr>
          <t>durch den Bietenden übernommen</t>
        </r>
        <r>
          <rPr>
            <sz val="9"/>
            <color indexed="81"/>
            <rFont val="Segoe UI"/>
            <family val="2"/>
          </rPr>
          <t xml:space="preserve"> werden, die Anzahl der erforderlichen Tätigkeiten über die angegebene Nutzungsdauer sowie die Kosten der einzelnen Wartungstätigkeit(en) für </t>
        </r>
        <r>
          <rPr>
            <u/>
            <sz val="9"/>
            <color indexed="81"/>
            <rFont val="Segoe UI"/>
            <family val="2"/>
          </rPr>
          <t>eine</t>
        </r>
        <r>
          <rPr>
            <sz val="9"/>
            <color indexed="81"/>
            <rFont val="Segoe UI"/>
            <family val="2"/>
          </rPr>
          <t xml:space="preserve"> funktionelle Einheit der anzubietenden Ware. Im Ergebnistabellenblatt werden die Transport- und Installationskosten auf die Gesamtmenge der angebotenen Waren (Anzahl funktioneller Einheiten) hochgerechnet. 
Im unteren Teil des Tabellenblatts tragen Sie als Bietende  - sofern für die zu anzubietende Ware relevant - solche Wartungstätigkeiten ein, die </t>
        </r>
        <r>
          <rPr>
            <u/>
            <sz val="9"/>
            <color indexed="81"/>
            <rFont val="Segoe UI"/>
            <family val="2"/>
          </rPr>
          <t>von der Beschaffungsstelle selbst ausgeführt</t>
        </r>
        <r>
          <rPr>
            <sz val="9"/>
            <color indexed="81"/>
            <rFont val="Segoe UI"/>
            <family val="2"/>
          </rPr>
          <t xml:space="preserve"> werden müssen, die Anzahl der erforderlichen Tätigkeiten über die angegebene Nutzungsdauer sowie die Kosten der einzelnen Wartungstätigkeit(en) für </t>
        </r>
        <r>
          <rPr>
            <u/>
            <sz val="9"/>
            <color indexed="81"/>
            <rFont val="Segoe UI"/>
            <family val="2"/>
          </rPr>
          <t>eine</t>
        </r>
        <r>
          <rPr>
            <sz val="9"/>
            <color indexed="81"/>
            <rFont val="Segoe UI"/>
            <family val="2"/>
          </rPr>
          <t xml:space="preserve"> funktionelle Einheit der anzubietenden Ware. Im Ergebnistabellenblatt werden die Transport- und Installationskosten auf die Gesamtmenge der angebotenen Waren (Anzahl funktioneller Einheiten) hochgerechnet.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E3" authorId="0" shapeId="0" xr:uid="{FDF2C03C-CF0D-4442-B4E2-36B29CB9E861}">
      <text>
        <r>
          <rPr>
            <b/>
            <sz val="9"/>
            <color indexed="81"/>
            <rFont val="Segoe UI"/>
            <family val="2"/>
          </rPr>
          <t>Tabellenblatt "Investitionsrechnung"</t>
        </r>
        <r>
          <rPr>
            <sz val="9"/>
            <color indexed="81"/>
            <rFont val="Segoe UI"/>
            <family val="2"/>
          </rPr>
          <t xml:space="preserve">
Hier tragen Sie - sofern für die zu beschaffende Ware relevant - die anzusetzende allgemeine Inflations- und Diskontrate ein. Damit können Sie, falls während der Nutzungsphase weitere Kosten in der Zukunft entstehen, diese für die Berechnung der Lebenszykluskosten auf- oder abzinsen. </t>
        </r>
      </text>
    </comment>
    <comment ref="E4" authorId="0" shapeId="0" xr:uid="{E6B09CA3-8A9E-48E1-8B3A-9A06B3635582}">
      <text>
        <r>
          <rPr>
            <b/>
            <sz val="9"/>
            <color indexed="81"/>
            <rFont val="Segoe UI"/>
            <family val="2"/>
          </rPr>
          <t>Tabellenblatt "Investitionsrechnung"</t>
        </r>
        <r>
          <rPr>
            <sz val="9"/>
            <color indexed="81"/>
            <rFont val="Segoe UI"/>
            <family val="2"/>
          </rPr>
          <t xml:space="preserve">
In diesem Blatt sind nur Einträge durch die Beschaffungsstelle vorgesehen.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H4" authorId="0" shapeId="0" xr:uid="{61FF142A-A177-4A9D-9F5F-C61756347CA6}">
      <text>
        <r>
          <rPr>
            <b/>
            <sz val="9"/>
            <color indexed="81"/>
            <rFont val="Segoe UI"/>
            <family val="2"/>
          </rPr>
          <t>Tabellenblätter "THG-Emissionen mit Zertifikat" | "THG-Emissionen ohne Zertifikat"</t>
        </r>
        <r>
          <rPr>
            <sz val="9"/>
            <color indexed="81"/>
            <rFont val="Segoe UI"/>
            <family val="2"/>
          </rPr>
          <t xml:space="preserve">
In beiden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text>
    </comment>
    <comment ref="H5" authorId="0" shapeId="0" xr:uid="{3A668FEC-8481-4CEA-9260-9402B4BE8C4F}">
      <text>
        <r>
          <rPr>
            <b/>
            <sz val="9"/>
            <color indexed="81"/>
            <rFont val="Segoe UI"/>
            <family val="2"/>
          </rPr>
          <t xml:space="preserve">Tabellenblätter "THG-Emissionen mit Zertifikat" | "THG-Emissionen ohne Zertifikat"
</t>
        </r>
        <r>
          <rPr>
            <sz val="9"/>
            <color indexed="81"/>
            <rFont val="Segoe UI"/>
            <family val="2"/>
          </rPr>
          <t xml:space="preserve">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r>
          <rPr>
            <b/>
            <sz val="9"/>
            <color indexed="81"/>
            <rFont val="Segoe UI"/>
            <family val="2"/>
          </rPr>
          <t xml:space="preserve">
Blatt "THG-Emissionen </t>
        </r>
        <r>
          <rPr>
            <b/>
            <u/>
            <sz val="9"/>
            <color indexed="81"/>
            <rFont val="Segoe UI"/>
            <family val="2"/>
          </rPr>
          <t>mit</t>
        </r>
        <r>
          <rPr>
            <b/>
            <sz val="9"/>
            <color indexed="81"/>
            <rFont val="Segoe UI"/>
            <family val="2"/>
          </rPr>
          <t xml:space="preserve"> Zertifikat": </t>
        </r>
        <r>
          <rPr>
            <sz val="9"/>
            <color indexed="81"/>
            <rFont val="Segoe UI"/>
            <family val="2"/>
          </rPr>
          <t xml:space="preserve">
Hier machen Sie als Bietende folgende Einträge (weitere, detailliertere Erläuterungen im Tabellenblatt): 
</t>
        </r>
        <r>
          <rPr>
            <b/>
            <sz val="9"/>
            <color indexed="81"/>
            <rFont val="Segoe UI"/>
            <family val="2"/>
          </rPr>
          <t>Phase 1: Produktion</t>
        </r>
        <r>
          <rPr>
            <sz val="9"/>
            <color indexed="81"/>
            <rFont val="Segoe UI"/>
            <family val="2"/>
          </rPr>
          <t xml:space="preserve">
-  Energieverbrauch und Treibhausgasemissionen aus der Produktion Ihrer anzubietenden Ware gemäß Zertifikatsnachweis (siehe Erläuterungen unten zu anerkannten Nachweismöglichkeiten)
</t>
        </r>
        <r>
          <rPr>
            <b/>
            <sz val="9"/>
            <color indexed="81"/>
            <rFont val="Segoe UI"/>
            <family val="2"/>
          </rPr>
          <t>Phase 2: Transport und Installation</t>
        </r>
        <r>
          <rPr>
            <sz val="9"/>
            <color indexed="81"/>
            <rFont val="Segoe UI"/>
            <family val="2"/>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9"/>
            <color indexed="81"/>
            <rFont val="Segoe UI"/>
            <family val="2"/>
          </rPr>
          <t>Phase 3: Nutzung und Wartung</t>
        </r>
        <r>
          <rPr>
            <sz val="9"/>
            <color indexed="81"/>
            <rFont val="Segoe UI"/>
            <family val="2"/>
          </rPr>
          <t xml:space="preserve">
- Energietyp und Verbrauch pro Jahr 
- Wartungstätigkeit und Häufigkeit während der Nutzungsdauer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4" authorId="0" shapeId="0" xr:uid="{3D791EF0-2E76-48CD-80A8-C13C9794554E}">
      <text>
        <r>
          <rPr>
            <b/>
            <sz val="9"/>
            <color indexed="81"/>
            <rFont val="Segoe UI"/>
            <family val="2"/>
          </rPr>
          <t>Tabellenblätter "Ergebnis LCC inkl. CO2-Kosten" | "Ergebnis LCC ohne CO2-Kosten"</t>
        </r>
        <r>
          <rPr>
            <sz val="9"/>
            <color indexed="81"/>
            <rFont val="Segoe UI"/>
            <family val="2"/>
          </rPr>
          <t xml:space="preserve">
Legen Sie für Ihre Ausschreibung fest, in welcher Form Sie die CO2-Kosten der prognostizierten Treibhausgasemissionen bei der Angebotsbewertung berücksichtigen werden. 
</t>
        </r>
        <r>
          <rPr>
            <u/>
            <sz val="9"/>
            <color indexed="81"/>
            <rFont val="Segoe UI"/>
            <family val="2"/>
          </rPr>
          <t>Im Regelfall</t>
        </r>
        <r>
          <rPr>
            <sz val="9"/>
            <color indexed="81"/>
            <rFont val="Segoe UI"/>
            <family val="2"/>
          </rPr>
          <t xml:space="preserve"> sollten die CO2-Kosten Teil der gesamten Lebenszykluskosten sein. In diesem Fall nutzen Sie das Tabellenblatt "Ergebnis LCC inkl. CO2-Kosten", </t>
        </r>
        <r>
          <rPr>
            <b/>
            <sz val="9"/>
            <color indexed="81"/>
            <rFont val="Segoe UI"/>
            <family val="2"/>
          </rPr>
          <t>löschen das Tabellenblatt "Ergebnis LCC ohne CO2-Kosten"</t>
        </r>
        <r>
          <rPr>
            <sz val="9"/>
            <color indexed="81"/>
            <rFont val="Segoe UI"/>
            <family val="2"/>
          </rPr>
          <t xml:space="preserve"> und leeren auf dem Tabellenblatt "Punktevergabe Übersicht" die Zellen G31-G41, bevor Sie die Datei extern mit den Ausschreibungsunterlagen zur Verfügung stellen. 
</t>
        </r>
        <r>
          <rPr>
            <u/>
            <sz val="9"/>
            <color indexed="81"/>
            <rFont val="Segoe UI"/>
            <family val="2"/>
          </rPr>
          <t>Alternativ</t>
        </r>
        <r>
          <rPr>
            <sz val="9"/>
            <color indexed="81"/>
            <rFont val="Segoe UI"/>
            <family val="2"/>
          </rPr>
          <t xml:space="preserve"> können Sie die Lebenszykluskosten ohne CO2-Kosten berechnen und stattdessen die CO2-Kosten als Ökologisches Zuschlagskriterium in die Bewertung einbeziehen. In diesem Fall legen Sie im Tabellenblatt "Punktevergabe Detail" ein entsprechendes Kriterium mit Punktzahl und Gewichtung fest. Sie nutzen dann das Tabellenblatt "Ergebnis LCC ohne CO2-Kosten", </t>
        </r>
        <r>
          <rPr>
            <b/>
            <sz val="9"/>
            <color indexed="81"/>
            <rFont val="Segoe UI"/>
            <family val="2"/>
          </rPr>
          <t>löschen das Tabellenblatt "Ergebnis LCC inkl. CO2-Kosten"</t>
        </r>
        <r>
          <rPr>
            <sz val="9"/>
            <color indexed="81"/>
            <rFont val="Segoe UI"/>
            <family val="2"/>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Nutzungsdauer der zu beschaffenden Ware abweichen), sofern relevant eine Laufzeitoption (zusätzlicher Optionszeitraum in Jahren), und den anzusetzenden CO2-Preis ein. 
</t>
        </r>
        <r>
          <rPr>
            <u/>
            <sz val="9"/>
            <color indexed="81"/>
            <rFont val="Segoe UI"/>
            <family val="2"/>
          </rPr>
          <t>CO2-Preis</t>
        </r>
        <r>
          <rPr>
            <sz val="9"/>
            <color indexed="81"/>
            <rFont val="Segoe UI"/>
            <family val="2"/>
          </rPr>
          <t>: Liegt keine hausinterne Vorgabe vor, können Sie für den Nutzungszeitraum der zu beschaffenden Ware bis einschließlich des Jahres 2026 die CO2-Preise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text>
    </comment>
    <comment ref="F5" authorId="0" shapeId="0" xr:uid="{2DABB715-9316-45AE-9C26-319B81333F30}">
      <text>
        <r>
          <rPr>
            <b/>
            <sz val="9"/>
            <color indexed="81"/>
            <rFont val="Segoe UI"/>
            <family val="2"/>
          </rPr>
          <t xml:space="preserve">Tabellenblätter "Ergebnis LCC inkl. CO2-Kosten" | "Ergebnis LCC ohne CO2-Kosten"
</t>
        </r>
        <r>
          <rPr>
            <sz val="9"/>
            <color indexed="81"/>
            <rFont val="Segoe UI"/>
            <family val="2"/>
          </rPr>
          <t xml:space="preserve">In diesem Blatt sind nur Einträge durch die Beschaffungsstelle vorgesehen. </t>
        </r>
        <r>
          <rPr>
            <b/>
            <sz val="9"/>
            <color indexed="81"/>
            <rFont val="Segoe UI"/>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I4" authorId="0" shapeId="0" xr:uid="{AEE83E8F-85FF-44F8-9605-87FC2CC6C962}">
      <text>
        <r>
          <rPr>
            <b/>
            <sz val="9"/>
            <color indexed="81"/>
            <rFont val="Segoe UI"/>
            <family val="2"/>
          </rPr>
          <t>Tabellenblätter "THG-Emissionen mit Zertifikat" | "THG-Emissionen ohne Zertifikat"</t>
        </r>
        <r>
          <rPr>
            <sz val="9"/>
            <color indexed="81"/>
            <rFont val="Segoe UI"/>
            <family val="2"/>
          </rPr>
          <t xml:space="preserve">
In beiden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text>
    </comment>
    <comment ref="I5" authorId="0" shapeId="0" xr:uid="{886F32B3-2C4D-40E0-8C4B-2C2500D1A7CC}">
      <text>
        <r>
          <rPr>
            <b/>
            <sz val="9"/>
            <color indexed="81"/>
            <rFont val="Segoe UI"/>
            <family val="2"/>
          </rPr>
          <t>Tabellenblätter "THG-Emissionen mit Zertifikat" | "THG-Emissionen ohne Zertifikat"</t>
        </r>
        <r>
          <rPr>
            <sz val="9"/>
            <color indexed="81"/>
            <rFont val="Segoe UI"/>
            <family val="2"/>
          </rPr>
          <t xml:space="preserve">
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r>
          <rPr>
            <b/>
            <sz val="9"/>
            <color indexed="81"/>
            <rFont val="Segoe UI"/>
            <family val="2"/>
          </rPr>
          <t xml:space="preserve">
Tabellenblatt THG-Emissionen </t>
        </r>
        <r>
          <rPr>
            <b/>
            <u/>
            <sz val="9"/>
            <color indexed="81"/>
            <rFont val="Segoe UI"/>
            <family val="2"/>
          </rPr>
          <t>ohne</t>
        </r>
        <r>
          <rPr>
            <b/>
            <sz val="9"/>
            <color indexed="81"/>
            <rFont val="Segoe UI"/>
            <family val="2"/>
          </rPr>
          <t xml:space="preserve"> Zertifikat: </t>
        </r>
        <r>
          <rPr>
            <sz val="9"/>
            <color indexed="81"/>
            <rFont val="Segoe UI"/>
            <family val="2"/>
          </rPr>
          <t xml:space="preserve">
Hier machen Sie als Bietende folgende Einträge (weitere, detailliertere  Erläuterungen im Tabellenblatt): 
</t>
        </r>
        <r>
          <rPr>
            <b/>
            <sz val="9"/>
            <color indexed="81"/>
            <rFont val="Segoe UI"/>
            <family val="2"/>
          </rPr>
          <t>Phase 1: Produktion</t>
        </r>
        <r>
          <rPr>
            <sz val="9"/>
            <color indexed="81"/>
            <rFont val="Segoe UI"/>
            <family val="2"/>
          </rPr>
          <t xml:space="preserve">
-  Energieverbrauch der Produktion Ihrer anzubietenden Ware und THG-Emissionswert der Energieversorgung (Strommix der finalen Fertigungsstätte)
- Die mengenmäßig relevantesten zehn Materialien (oder Stoffe/Produktionsprozesse - Auswahl über das vorhandene Dropdown-Menü) Ihrer anzubietenden Ware auf EINE funktionelle Einheit bezogen inklusive Erläuterung und Wert. 
- Ihre Eigenerklärung zu den THG-Emissionen aus der Produktion der anzubietenden Ware, um Ihr Angebot ohne Zertifikat mit anderen Angeboten mit Zertifikat vergleichen zu dürfen. Sie können die THG-Emissionen der Produktion mit Hilfe der beiden oberen Abschnitte plausibilisieren: 
THG-Emissionen (Energie) + THG-Emissionen (Material). Tipp: Sie finden beide Summanden im Tabellenblatt "Produktion" in Spalte L. Der Wert der gesamten CO2-Belastung der Produktion liegt meist ca. 10-20 % über dieser Summe der Einzelwerte. 
</t>
        </r>
        <r>
          <rPr>
            <b/>
            <sz val="9"/>
            <color indexed="81"/>
            <rFont val="Segoe UI"/>
            <family val="2"/>
          </rPr>
          <t>Phase 2: Transport und Installation</t>
        </r>
        <r>
          <rPr>
            <sz val="9"/>
            <color indexed="81"/>
            <rFont val="Segoe UI"/>
            <family val="2"/>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9"/>
            <color indexed="81"/>
            <rFont val="Segoe UI"/>
            <family val="2"/>
          </rPr>
          <t>Phase 3: Nutzung und Wartung</t>
        </r>
        <r>
          <rPr>
            <sz val="9"/>
            <color indexed="81"/>
            <rFont val="Segoe UI"/>
            <family val="2"/>
          </rPr>
          <t xml:space="preserve">
- Energietyp und Verbrauch pro Jahr 
- Wartungstätigkeit und Häufigkeit während der Nutzungsdauer</t>
        </r>
      </text>
    </comment>
  </commentList>
</comments>
</file>

<file path=xl/sharedStrings.xml><?xml version="1.0" encoding="utf-8"?>
<sst xmlns="http://schemas.openxmlformats.org/spreadsheetml/2006/main" count="4535" uniqueCount="1939">
  <si>
    <r>
      <t>Aufbau und Farbschema des LCC-CO</t>
    </r>
    <r>
      <rPr>
        <b/>
        <vertAlign val="subscript"/>
        <sz val="26"/>
        <color theme="1"/>
        <rFont val="Calibri"/>
        <family val="2"/>
        <scheme val="minor"/>
      </rPr>
      <t>2</t>
    </r>
    <r>
      <rPr>
        <b/>
        <sz val="26"/>
        <color theme="1"/>
        <rFont val="Calibri"/>
        <family val="2"/>
        <scheme val="minor"/>
      </rPr>
      <t>-Tools</t>
    </r>
  </si>
  <si>
    <t>TABELLENBLÄTTER ZUR INFORMATION</t>
  </si>
  <si>
    <t>TABELLENBLÄTTER FÜR EINGABEN &amp; ERGEBNIS</t>
  </si>
  <si>
    <t>Anleitung für Nutzende des Excel-Tools</t>
  </si>
  <si>
    <t>Punktevergabeschema</t>
  </si>
  <si>
    <t>Detailergebnisse zu Treibhausgasberechnungen im Tool</t>
  </si>
  <si>
    <t xml:space="preserve">- Anleitung für Beschaffende </t>
  </si>
  <si>
    <t>- Punktevergabe Übersicht</t>
  </si>
  <si>
    <t>- Produktion</t>
  </si>
  <si>
    <t>- Anleitung für Bietende</t>
  </si>
  <si>
    <t>- Transport + Installation</t>
  </si>
  <si>
    <t>- Nutzung</t>
  </si>
  <si>
    <t>Angaben zu Lebenszykluskosten</t>
  </si>
  <si>
    <t>- Einmalkosten</t>
  </si>
  <si>
    <t>Verwendete Emissionsfaktoren</t>
  </si>
  <si>
    <t>- Transport- und Installationskosten</t>
  </si>
  <si>
    <t>- Laufende Kosten</t>
  </si>
  <si>
    <t>- Investitionsrechnung</t>
  </si>
  <si>
    <t>(spezifische Dateneingaben durch Bietenden möglich)</t>
  </si>
  <si>
    <t>Angaben zu Treibhausgasemissionen</t>
  </si>
  <si>
    <t>- THG-Emissionen mit Zertifikat</t>
  </si>
  <si>
    <t>Impressum</t>
  </si>
  <si>
    <t>- THG-Emissionen ohne Zertifikat</t>
  </si>
  <si>
    <t>Ergebnis (LCC-CO2-Kosten) als Hilfe für Wirtschaftlichkeitsberechnung oder Zuschlagserteilung</t>
  </si>
  <si>
    <t>ANWENDUNGSZWECKE DES TOOLS</t>
  </si>
  <si>
    <t>FARBSCHEMA</t>
  </si>
  <si>
    <t>Graue Zellen: Durch Beschaffungsstelle vorzugeben bzw. auf Grundlage des eingereichten Angebots zu bewerten</t>
  </si>
  <si>
    <t>Hellblaue Zellen: Durch Bietende auszufüllen</t>
  </si>
  <si>
    <r>
      <rPr>
        <b/>
        <sz val="11"/>
        <rFont val="Calibri"/>
        <family val="2"/>
        <scheme val="minor"/>
      </rPr>
      <t>Tabellenblatt "Einmalkosten"</t>
    </r>
    <r>
      <rPr>
        <sz val="11"/>
        <rFont val="Calibri"/>
        <family val="2"/>
        <scheme val="minor"/>
      </rPr>
      <t xml:space="preserve">
Hier tragen Sie die Detailanforderungen an die zu beschaffende Ware ein ("Lastenheft")</t>
    </r>
  </si>
  <si>
    <r>
      <rPr>
        <b/>
        <sz val="11"/>
        <rFont val="Calibri"/>
        <family val="2"/>
        <scheme val="minor"/>
      </rPr>
      <t>Tabellenblatt "Laufende Kosten"</t>
    </r>
    <r>
      <rPr>
        <sz val="11"/>
        <rFont val="Calibri"/>
        <family val="2"/>
        <scheme val="minor"/>
      </rPr>
      <t xml:space="preserve">
Hier tragen Sie - sofern für die zu beschaffende Ware relevant - Ihre aktuellen Preise für die zu nutzenden Energieträger ein. </t>
    </r>
  </si>
  <si>
    <t xml:space="preserve">
</t>
  </si>
  <si>
    <t>Tabellenblatt "Punktevergabe Übersicht" und "Punktevergabe Details"</t>
  </si>
  <si>
    <t>Tabellenblatt "Einmalkosten"</t>
  </si>
  <si>
    <t>Tabellenblatt "Transport- und Installationskosten"</t>
  </si>
  <si>
    <t>Tabellenblatt "Laufende Kosten"</t>
  </si>
  <si>
    <t>Tabellenblatt "THG-Emissionen mit/ohne Zertifikat"</t>
  </si>
  <si>
    <t>Tabellenblätter "Produktion / Transport + Installation / Nutzung"</t>
  </si>
  <si>
    <t>Tabellenblätter "Emissionsfaktoren"</t>
  </si>
  <si>
    <t>LCC-CO2 - Tool</t>
  </si>
  <si>
    <t>Anleitung für BIETENDE</t>
  </si>
  <si>
    <r>
      <t>Im Folgenden wird beschrieben, wie das</t>
    </r>
    <r>
      <rPr>
        <sz val="11"/>
        <color rgb="FFFF0000"/>
        <rFont val="Calibri"/>
        <family val="2"/>
        <scheme val="minor"/>
      </rPr>
      <t xml:space="preserve"> </t>
    </r>
    <r>
      <rPr>
        <sz val="11"/>
        <rFont val="Calibri"/>
        <family val="2"/>
        <scheme val="minor"/>
      </rPr>
      <t>LCC-CO2 Tool des Umweltbundesamtes zu be</t>
    </r>
    <r>
      <rPr>
        <sz val="11"/>
        <color theme="1"/>
        <rFont val="Calibri"/>
        <family val="2"/>
        <scheme val="minor"/>
      </rPr>
      <t>füllen ist und wie es die Gesamtkosten des Beschaffungsvorhabens inklusive CO2-Kosten für die THG-Emissionen über den Lebenszyklus berechnet.</t>
    </r>
  </si>
  <si>
    <t>Grundsätzlich gilt:</t>
  </si>
  <si>
    <t>Durch Bietende auszufüllen</t>
  </si>
  <si>
    <t xml:space="preserve">Je nach Farbcodierung der Zellen sind Einträge von Ihnen als Bieter/Bieterin vorzunehmen </t>
  </si>
  <si>
    <t>Durch Beschaffungsstelle vorgegeben</t>
  </si>
  <si>
    <t>oder werden durch die Beschaffungsstelle vorgegeben.</t>
  </si>
  <si>
    <t>Tabellenblätter "Punktevergabe Übersicht" und "Punktevergabe Detail"</t>
  </si>
  <si>
    <t>### Text wird noch ergänzt ###</t>
  </si>
  <si>
    <t>Hinweise: Nur in die grauen Felder einfüllen; alle andere Felder sind nicht zu verändern</t>
  </si>
  <si>
    <t>Bei Versand an Externen, Blattchutz darauflegen (prüfen, ob Blattschutz barrierefrei ist)</t>
  </si>
  <si>
    <t>Tragen Sie die Nettopreise für die gemäß Ausschreibungsunterlagen geforderten Leistungsgegenstände ein.</t>
  </si>
  <si>
    <t>Tragen Sie die Daten und Preise für den Transport und ggf. die Installation der Leistungsgegenstände ein.</t>
  </si>
  <si>
    <t xml:space="preserve">Die Beschaffungsstelle trägt in den hellgrauen Feldern die aktuellen Preise für die verschiedenen Energietypen je Einheit ein. Die Werte für den Energieverbrauch werden automatisch übernommen aus Ihren Eingaben im Tabellenblatt "THG-Emissionen". </t>
  </si>
  <si>
    <t xml:space="preserve">Tragen Sie in den hellblauen Feldern die Wartungstätigkeit, -häufigkeiten und -kosten ein. Es ist hierbei eine Unterscheidung nach Wartungstätigkeiten durch den Bietenden gemäß Forderung in den Ausschreibungsunterlagen bzw. erforderliche Wartungstätigkeiten durch die Beschaffungsstelle selbst, durchzuführen. </t>
  </si>
  <si>
    <t>Stundenkostensätze, die nicht in den Ausschreibungsunterlagen vorgegeben sind, sind freizulassen. Hierzu wird erst in den folgenden Verhandlungsrunden zwischen Bietendem und Ausschreibungsstelle die Klärung herbeigeführt.</t>
  </si>
  <si>
    <t>Wenn Sie nichts eintragen, obwohl die Angaben in den Ausschreibungsunterlagen vorhanden sind, so trägt die Beschaffungsstelle diese Werte zur Auswertung ein.</t>
  </si>
  <si>
    <r>
      <t xml:space="preserve">Als Bietender müssen Sie zunächst prüfen, ob für die Treibhausgasemissionen Ihres Produkts ein </t>
    </r>
    <r>
      <rPr>
        <b/>
        <sz val="11"/>
        <color theme="1"/>
        <rFont val="Calibri"/>
        <family val="2"/>
        <scheme val="minor"/>
      </rPr>
      <t xml:space="preserve">Zertifikat vorhanden ist oder nicht. </t>
    </r>
    <r>
      <rPr>
        <sz val="11"/>
        <color rgb="FFFF0000"/>
        <rFont val="Calibri"/>
        <family val="2"/>
        <scheme val="minor"/>
      </rPr>
      <t xml:space="preserve"> </t>
    </r>
  </si>
  <si>
    <t>Als Zertifikat dient eine (Produkt-)Ökobilanz nach ISO 14040/44 , bei der die potenziellen THG-Emissionen entlang des Lebenszyklus betrachtet werden, eine produktbezogene Klimabilanz nach DIN EN ISO 14067:2019-02, oder eine Klimabilanz nach gleichwertigen Standards.</t>
  </si>
  <si>
    <r>
      <t>Wie in den Ausschreibungsunterlagen vorgegeben, füllen Sie bitte priorisiert das Tabellenblatt "THG-Emissionen mit Zertifikat" aus</t>
    </r>
    <r>
      <rPr>
        <b/>
        <sz val="11"/>
        <color theme="1"/>
        <rFont val="Calibri"/>
        <family val="2"/>
        <scheme val="minor"/>
      </rPr>
      <t>.</t>
    </r>
    <r>
      <rPr>
        <sz val="11"/>
        <color theme="1"/>
        <rFont val="Calibri"/>
        <family val="2"/>
        <scheme val="minor"/>
      </rPr>
      <t xml:space="preserve"> Das Tabellenblatt "THG-Emissionen ohne Zertifikat" ist dann nicht zu befüllen.</t>
    </r>
  </si>
  <si>
    <t>Es wird empfohlen sich ein Zertifikat über die Treibhausgasemissionen für jedes Ihrer verfügbaren Produkte erstellen zu lassen. Mittelfristig wird dies in allen Ausschreibungen gefordert werden.</t>
  </si>
  <si>
    <t>Wird ein Zertifikat für die Befüllung der Eingabedaten zur Ermittlung der Treibhausgasemissionen verwendet, so ist dieses (oder sind diese) als Anlage(n) beizufügen. Alternative Zertifikate werden bei Gleichwertigkeit akzeptiert, diese sind auch beizufügen.</t>
  </si>
  <si>
    <r>
      <t>Ist kein entsprechendes Zertifikat vorhanden, so ist durch eine Eigenerklärung der CO</t>
    </r>
    <r>
      <rPr>
        <vertAlign val="subscript"/>
        <sz val="11"/>
        <color theme="1"/>
        <rFont val="Calibri"/>
        <family val="2"/>
        <scheme val="minor"/>
      </rPr>
      <t>2</t>
    </r>
    <r>
      <rPr>
        <sz val="11"/>
        <color theme="1"/>
        <rFont val="Calibri"/>
        <family val="2"/>
        <scheme val="minor"/>
      </rPr>
      <t xml:space="preserve"> Wert für die Produktionsphase abzugeben. Dieser Wert wird für die Emissionsberechnung in der Phase 1: Produktion herangezogen.</t>
    </r>
  </si>
  <si>
    <t>Zur Plausibilisierung verwenden Sie die Eingabefelder im Tabellenblatt "THG-Emissionen ohne Zertifikat" in der Phase 1: Produktion.</t>
  </si>
  <si>
    <t xml:space="preserve">Auf den Tabellenblättern "Produktion", "Transport + Installation" und "Nutzung" werden dann basierend auf diesen Eingabedaten die Berechnungen durchgeführt. </t>
  </si>
  <si>
    <t>Im Tabellenblatt "Ergebnis" wird das aufsummierte Endergebnis für die Kosten der THG-Emissionen im unteren rechten Quadranten (grün umrandet) angezeigt.</t>
  </si>
  <si>
    <t>Die Produktion umfasst sämtliche Prozesse im Rahmen der Herstellung des Produktes. 
Dies inkludiert die Rohstoffextraktion, sämtliche Transporte, Herstellprozesse und die Montage am Produktionsstandort (sofern vorhanden).</t>
  </si>
  <si>
    <t>Phase 1: Produktion</t>
  </si>
  <si>
    <t>Tragen Sie die Energieverbrauch und THG-Emissionen für eine funktionelle Einheit ein.</t>
  </si>
  <si>
    <t>Phase 2: Transport und Errichtung</t>
  </si>
  <si>
    <t>Die Beschaffungsstelle trägt den Produktionsstandort oder finalen Bestimmungsort, an dem die Funktionelle Einheit zusammengebaut wird, ein.</t>
  </si>
  <si>
    <t>Tragen Sie u.a. die Transportmittel (einschließlich der Distanz und des Gewichts, das mit den entsprechenden Transportmitteln transportiert wird), sowie die Installations-/Errichtungstätigkeiten (falls vorhanden) ein.</t>
  </si>
  <si>
    <t>Phase 3: Nutzung</t>
  </si>
  <si>
    <t>Die Beschaffungsstelle trägt die Daten ein, die der Nutzungsdauer des Leistungsgegenstandes entsprechen.</t>
  </si>
  <si>
    <t xml:space="preserve">Tragen Sie den Energieverbrauch aller Wartungstätigkeiten ein, falls vorhanden. </t>
  </si>
  <si>
    <t xml:space="preserve">Auf den Tabellenblättern "Emissionsfaktoren_Stoffe", "Emissionsfaktoren_Prozesse" und "Emissionsfaktoren_Lebenszyklus" befinden sich die für die Berechnung herangezogenen Emissionsfaktoren inkl. Quellenangabe. </t>
  </si>
  <si>
    <r>
      <t xml:space="preserve">Verwenden Sie aufgrund spezifischer Eigenheiten andere Werte (Eintrag durch Bietende in den hellblauen Zellen in diesen Tabellenblättern), so ist dies durch ein </t>
    </r>
    <r>
      <rPr>
        <u/>
        <sz val="11"/>
        <color theme="1"/>
        <rFont val="Calibri"/>
        <family val="2"/>
        <scheme val="minor"/>
      </rPr>
      <t>unabhängiges Gutachten/Zertifkat</t>
    </r>
    <r>
      <rPr>
        <sz val="11"/>
        <color theme="1"/>
        <rFont val="Calibri"/>
        <family val="2"/>
        <scheme val="minor"/>
      </rPr>
      <t xml:space="preserve"> zu bestätigen. In dem Fall werden diese Werte des Bietenden für die Berechnung herangezogen. </t>
    </r>
  </si>
  <si>
    <t>Sollten Sie Werte abändern, ohne eine solche unabhängige Bestätigung beizulegen, so wird von den Beschaffungsstelle wieder der Standardwert herangezogen.</t>
  </si>
  <si>
    <t xml:space="preserve">Auf der Internetseite des Umweltbundesamtes https://www.probas.umweltbundesamt.de/datenbank/#/ finden Sie eventuell fehlende Werte für Ihr Produkt. </t>
  </si>
  <si>
    <t>Übernehmen Sie bitte den Wert für "Luftemissionen, CO2, im Reiter 3. Umweltaspekte" des jeweiligen Stoffes.</t>
  </si>
  <si>
    <r>
      <t xml:space="preserve">Sind in den Drop Down Menüs der Eingaben für Produktion, Errichtung und Nutzung Ihre spezifischen Werte </t>
    </r>
    <r>
      <rPr>
        <u/>
        <sz val="11"/>
        <rFont val="Calibri"/>
        <family val="2"/>
        <scheme val="minor"/>
      </rPr>
      <t>nicht</t>
    </r>
    <r>
      <rPr>
        <sz val="11"/>
        <rFont val="Calibri"/>
        <family val="2"/>
        <scheme val="minor"/>
      </rPr>
      <t xml:space="preserve"> angefügt, so tragen Sie bitte Ihren Stoff oder Prozess oder das spezielle Transportmittel in die hellblauen Felder auf den entsprechenden Tabellenblättern "Emissionsfaktoren" ein.</t>
    </r>
  </si>
  <si>
    <t>Der ermittelte Wert aus den im LCC-CO2-Tool aufgeführten öffentlichen Quellen wie z.B. PROBAS wird dann bekannt gegeben und genutzt.</t>
  </si>
  <si>
    <t>Für Wartungstätigkeiten mit THG-Emissionen, sind die THG-Emissionen zu addieren, die z.B. durch den Austausch von Komponenten entstehen.</t>
  </si>
  <si>
    <t xml:space="preserve">Zum Beispiel ist beim Batterietausch eines E-Omnibusses nach x Jahren nicht nur der Antransport der Batterie, sondern auch der gesamte CO2-Emissionsbetrag der Produktion der neuen Batterie zu inkludieren. </t>
  </si>
  <si>
    <t xml:space="preserve">Zu jeder Wartungstätigkeit, die sich noch nicht im Drop-Down Feld findet (und damit im Tabellenblatt "Emissionsfaktoren_Lebenszyklus") liefern Sie eine Erklärung, aus der alle Überlegungen und Zahlenwerte sowie Ihre Berechnungen hervorgehen. </t>
  </si>
  <si>
    <t>Die Daten sind durch entsprechende Nachweisunterlagen zu belegen. Bei Fragen hierzu wenden Sie Sich bitte rechtzeitig an die Ansprechperson gem. Ausschreibungsunterlagen, damit Ihnen zeitgerecht geholfen werden kann.</t>
  </si>
  <si>
    <r>
      <t>Die Beschaffungsstelle trägt den anzusetzenden CO</t>
    </r>
    <r>
      <rPr>
        <vertAlign val="subscript"/>
        <sz val="11"/>
        <rFont val="Calibri"/>
        <family val="2"/>
        <scheme val="minor"/>
      </rPr>
      <t>2</t>
    </r>
    <r>
      <rPr>
        <sz val="11"/>
        <rFont val="Calibri"/>
        <family val="2"/>
        <scheme val="minor"/>
      </rPr>
      <t>-Preis für die Monetarisierung der Treibhausgasemissionen ein; mindestens nach aktuell gültigem Wert gemäß BEHG (Brennstoffemissionshandelsgesetz), oder nach hausinterner Vorgabe.</t>
    </r>
  </si>
  <si>
    <r>
      <t>Tragen Sie Ihre Firmenbezeichnung im hellblauen Feld ein. Alle anderen Felder werden durch Berechnungen des LCC-CO2 Tools befüllt. Hier können Sie Ihr Ergebnis der Lebenszykluskosten sowie die CO</t>
    </r>
    <r>
      <rPr>
        <vertAlign val="subscript"/>
        <sz val="11"/>
        <rFont val="Calibri"/>
        <family val="2"/>
        <scheme val="minor"/>
      </rPr>
      <t>2</t>
    </r>
    <r>
      <rPr>
        <sz val="11"/>
        <rFont val="Calibri"/>
        <family val="2"/>
        <scheme val="minor"/>
      </rPr>
      <t>-Kosten der Treibhausgasemissionen ablesen.</t>
    </r>
  </si>
  <si>
    <r>
      <t>Hier finden sich die Berechnungen für das LCC-CO2 Berechnungsmodell. Sie können sich hier informieren, welche Auswirkungen verschiedene Materialien auf die CO</t>
    </r>
    <r>
      <rPr>
        <vertAlign val="subscript"/>
        <sz val="11"/>
        <rFont val="Calibri"/>
        <family val="2"/>
        <scheme val="minor"/>
      </rPr>
      <t>2</t>
    </r>
    <r>
      <rPr>
        <sz val="11"/>
        <rFont val="Calibri"/>
        <family val="2"/>
        <scheme val="minor"/>
      </rPr>
      <t xml:space="preserve">-Emissionskosten haben, bzw. wie sich diese berechnen. </t>
    </r>
  </si>
  <si>
    <t>Eingaben sind hier keine notwendig.</t>
  </si>
  <si>
    <t xml:space="preserve">In den weißen Tabellenblättern finden sich die zugrunde liegenden Emissionsfaktoren der verschiedenen Materialien und Prozesse für das LCC-CO2-Berechnungsmodell. </t>
  </si>
  <si>
    <t>Eingaben sind hier keine notwendig. Bietende können in den hellblauen Feldern spezifischere Daten ergänzen (mit Nachweis), sonstige Veränderungen sind nicht erlaubt.</t>
  </si>
  <si>
    <t>Punktevergabe Übersicht</t>
  </si>
  <si>
    <t>Legende:</t>
  </si>
  <si>
    <t>Durch Beschaffungsstelle vorgegeben bzw. auf Grundlage des eingereichten Angebots zu bewerten</t>
  </si>
  <si>
    <t>Bewertungsschema: Übersicht für Bietende</t>
  </si>
  <si>
    <t>Bewertung des Angebots des Bietenden</t>
  </si>
  <si>
    <t>Ausschlusskriterien vorhanden (ja/nein)?</t>
  </si>
  <si>
    <t>Wertungsschema</t>
  </si>
  <si>
    <t>Gewichtung Preis (%)</t>
  </si>
  <si>
    <t>Gewichtung Qualität (%)</t>
  </si>
  <si>
    <t>zu vergebende Gesamtzahl Punkte:</t>
  </si>
  <si>
    <t>Maximale Punkte Preis</t>
  </si>
  <si>
    <t>Maximale Punkte Qualität</t>
  </si>
  <si>
    <t>Gewichtung Qualitätspunkte (%): Technische Zuschlagskriterien</t>
  </si>
  <si>
    <t>Gewichtung Qualitätspunkte (%): Ökologische Zuschlagskriterien</t>
  </si>
  <si>
    <t>Wertung Preis</t>
  </si>
  <si>
    <t>Max. Punkte Preis</t>
  </si>
  <si>
    <t>Die Punkte werden wie folgt berechnet:
niedrigster Angebotspreis / abgegebener Angebotspreis x Höchstpunkte = Bewertungspunkte Preis (gerundet auf ganze Zahlen)</t>
  </si>
  <si>
    <t>Wertung Qualität: Verteilung der Qualitätspunkte</t>
  </si>
  <si>
    <t>Max. Punkte Technische Zuschlagskriterien:</t>
  </si>
  <si>
    <t>Max. Punkte Ökologische Zuschlagskriterien:</t>
  </si>
  <si>
    <t>Max. Punkte Qualität Summe:</t>
  </si>
  <si>
    <t>Bietender</t>
  </si>
  <si>
    <t>Punkte Preis</t>
  </si>
  <si>
    <t>Punkte Qualität</t>
  </si>
  <si>
    <t>Punkte Gesamt</t>
  </si>
  <si>
    <t>Angebotspreis für Vertragslaufzeit</t>
  </si>
  <si>
    <t>Energiekosten pro Jahr</t>
  </si>
  <si>
    <t>Wartungskosten pro Jahr</t>
  </si>
  <si>
    <t>Punktevergabe Details</t>
  </si>
  <si>
    <t>Durch Bietenden auszufüllen</t>
  </si>
  <si>
    <t xml:space="preserve">Bewertungsschema: Details für Bietende </t>
  </si>
  <si>
    <t>Ausschlusskriterien</t>
  </si>
  <si>
    <t>Max. Punkte</t>
  </si>
  <si>
    <t>Beurteilung Erfüllung Ja/Nein</t>
  </si>
  <si>
    <t>Bemerkung des Bietenden</t>
  </si>
  <si>
    <t>-</t>
  </si>
  <si>
    <t>Ausschlusskriterium 1</t>
  </si>
  <si>
    <t>[Bitte auswählen]</t>
  </si>
  <si>
    <t>Ausschlusskriterium 2</t>
  </si>
  <si>
    <t>Ausschlusskriterium 3</t>
  </si>
  <si>
    <t>Ausschlusskriterium 4</t>
  </si>
  <si>
    <t xml:space="preserve"> Zuschlagskriterien Qualität: Detailpunktevergabe </t>
  </si>
  <si>
    <t xml:space="preserve"> Zuschlagskriterien Qualität</t>
  </si>
  <si>
    <t>Technische Zuschlagskriterien</t>
  </si>
  <si>
    <t>Erfüllungsgrad (%)</t>
  </si>
  <si>
    <t>Erreichte Punkte</t>
  </si>
  <si>
    <t>Technisches Kriterium 1</t>
  </si>
  <si>
    <t>Technisches Kriterium 2</t>
  </si>
  <si>
    <t>Technisches Kriterium 3</t>
  </si>
  <si>
    <t>Technisches Kriterium 4</t>
  </si>
  <si>
    <t>Technisches Kriterium 5</t>
  </si>
  <si>
    <t>Technisches Kriterium 6</t>
  </si>
  <si>
    <t>Technisches Kriterium 7</t>
  </si>
  <si>
    <t>Technisches Kriterium 8</t>
  </si>
  <si>
    <t xml:space="preserve">Max. Punkte Technische Wertung </t>
  </si>
  <si>
    <t xml:space="preserve">Erreichte Gesamtpunkte
Technische Wertung </t>
  </si>
  <si>
    <t>Ökologische Zuschlagskriterien</t>
  </si>
  <si>
    <t xml:space="preserve">Ausfüllgrad des Tabellenblatts THG-Emissionen </t>
  </si>
  <si>
    <r>
      <t xml:space="preserve">Kein Eintrag erforderlich - Wert wird </t>
    </r>
    <r>
      <rPr>
        <u/>
        <sz val="11"/>
        <color theme="1"/>
        <rFont val="Calibri"/>
        <family val="2"/>
        <scheme val="minor"/>
      </rPr>
      <t>automatisch</t>
    </r>
    <r>
      <rPr>
        <sz val="11"/>
        <color theme="1"/>
        <rFont val="Calibri"/>
        <family val="2"/>
        <scheme val="minor"/>
      </rPr>
      <t xml:space="preserve"> ermittelt 
aus dem Tabellenblatt THG-Emissionen mit bzw. ohne Zertifikat</t>
    </r>
  </si>
  <si>
    <t>Ökologisches Kriterium 2</t>
  </si>
  <si>
    <t>Ökologisches Kriterium 3</t>
  </si>
  <si>
    <t>Ökologisches Kriterium 4</t>
  </si>
  <si>
    <t>Max. Punkte Ökologische Wertung</t>
  </si>
  <si>
    <t xml:space="preserve">Erreichte Gesamtpunkte
Ökologische Wertung </t>
  </si>
  <si>
    <t>Berechnung der Einmalkosten</t>
  </si>
  <si>
    <t>Beschreibung</t>
  </si>
  <si>
    <t>Lastenheft Info 3:</t>
  </si>
  <si>
    <t>Lastenheft Info 4:</t>
  </si>
  <si>
    <t>Lastenheft Info 5:</t>
  </si>
  <si>
    <t>Lastenheft Info 6:</t>
  </si>
  <si>
    <t>Lastenheft Info 7:</t>
  </si>
  <si>
    <t>Lastenheft Info 8:</t>
  </si>
  <si>
    <t>Lastenheft Info 9:</t>
  </si>
  <si>
    <t>Lastenheft Info 10:</t>
  </si>
  <si>
    <t>Lastenheft Info 11:</t>
  </si>
  <si>
    <t>Lastenheft Info 12:</t>
  </si>
  <si>
    <t>Lastenheft Info 13:</t>
  </si>
  <si>
    <t>Lastenheft Info 14:</t>
  </si>
  <si>
    <t>Lastenheft Info 15:</t>
  </si>
  <si>
    <t>Lastenheft Info 16:</t>
  </si>
  <si>
    <t>Lastenheft Info 17:</t>
  </si>
  <si>
    <t>Lastenheft Info 18:</t>
  </si>
  <si>
    <t>Lastenheft Info 19:</t>
  </si>
  <si>
    <t>Lastenheft Info 20:</t>
  </si>
  <si>
    <t>wird automatisch berechnet</t>
  </si>
  <si>
    <t>Berechnung Transport- und Installationskosten</t>
  </si>
  <si>
    <t xml:space="preserve">Lieferort und ggf. Incoterms gemäß unseren Vertragsbedingungen. </t>
  </si>
  <si>
    <t>Transportkostenanteil 1, bitte spezifizieren</t>
  </si>
  <si>
    <t>Transportkostenanteil 2, bitte spezifizieren</t>
  </si>
  <si>
    <t>Transportkostenanteil 3, bitte spezifizieren</t>
  </si>
  <si>
    <t>Installationskostenanteil 1, bitte spezifizieren</t>
  </si>
  <si>
    <t>Installationskostenanteil 2, bitte spezifizieren</t>
  </si>
  <si>
    <t>Installationskostenanteil 3, bitte spezifizieren</t>
  </si>
  <si>
    <t>Berechnung der laufenden Kosten</t>
  </si>
  <si>
    <t>Gesamtsumme laufende Kosten pro Jahr</t>
  </si>
  <si>
    <t>wird automatisch übernommen</t>
  </si>
  <si>
    <t>Prozessbezeichnung</t>
  </si>
  <si>
    <t>Strommix_DE_kWh</t>
  </si>
  <si>
    <t>Ökostrom_DE_kWh</t>
  </si>
  <si>
    <t>Heizöl_kWh</t>
  </si>
  <si>
    <t>Erdgas</t>
  </si>
  <si>
    <t>Erdgas_kWh</t>
  </si>
  <si>
    <t>Flüssiggas_kWh</t>
  </si>
  <si>
    <t>Diesel_kWh</t>
  </si>
  <si>
    <t>Benzin_kWh</t>
  </si>
  <si>
    <t>Holzpellets_kWh</t>
  </si>
  <si>
    <t>Holz</t>
  </si>
  <si>
    <t>Holz_kWh</t>
  </si>
  <si>
    <t>Biodiesel_kWh</t>
  </si>
  <si>
    <t>Bioethanol_kWh</t>
  </si>
  <si>
    <t>Heizöl extraleicht in Liter</t>
  </si>
  <si>
    <t>Heizöl_l</t>
  </si>
  <si>
    <t>Erdgas in Liter</t>
  </si>
  <si>
    <t>Erdgas_l</t>
  </si>
  <si>
    <t>Flüssiggas in Liter</t>
  </si>
  <si>
    <t>Flüssiggas_l</t>
  </si>
  <si>
    <t>Diesel in Liter</t>
  </si>
  <si>
    <t>Diesel_l</t>
  </si>
  <si>
    <t>Benzin in Liter</t>
  </si>
  <si>
    <t>Benzin_l</t>
  </si>
  <si>
    <t>Holzpellets in kg</t>
  </si>
  <si>
    <t>Holzpellets_kg</t>
  </si>
  <si>
    <t>Holz in kg</t>
  </si>
  <si>
    <t>Holz_kg</t>
  </si>
  <si>
    <t>Biodiesel in Liter</t>
  </si>
  <si>
    <t>Biodiesel_l</t>
  </si>
  <si>
    <t>Bioethanol in Liter</t>
  </si>
  <si>
    <t>Bioethanol_l</t>
  </si>
  <si>
    <t>Wartungskosten durch Bietenden pro Jahr</t>
  </si>
  <si>
    <t>Wartungstätigkeit, die durch Bietenden übernommen wird</t>
  </si>
  <si>
    <t>Kosten der Wartungstätigkeit</t>
  </si>
  <si>
    <t>Wartungskosten durch Beschaffungsstelle pro Jahr</t>
  </si>
  <si>
    <t>Wartungstätigkeit, die durch Beschaffungsstelle auszuführen ist</t>
  </si>
  <si>
    <t>Investitionsrechnung</t>
  </si>
  <si>
    <t>Durch Beschaffungsstelle vorzugeben</t>
  </si>
  <si>
    <t xml:space="preserve">Finanzmathematische Indikatoren </t>
  </si>
  <si>
    <t>Wert</t>
  </si>
  <si>
    <t>Einheit</t>
  </si>
  <si>
    <t>Quelle</t>
  </si>
  <si>
    <t>%</t>
  </si>
  <si>
    <t>https://www.destatis.de/DE/Themen/Wirtschaft/Preise/Verbraucherpreisindex/_inhalt.html</t>
  </si>
  <si>
    <t>Diskontrate (d)</t>
  </si>
  <si>
    <r>
      <t xml:space="preserve">Berechnung der THG-Emissionen </t>
    </r>
    <r>
      <rPr>
        <b/>
        <u/>
        <sz val="26"/>
        <color theme="1"/>
        <rFont val="Calibri"/>
        <family val="2"/>
        <scheme val="minor"/>
      </rPr>
      <t>mit</t>
    </r>
    <r>
      <rPr>
        <b/>
        <sz val="26"/>
        <color theme="1"/>
        <rFont val="Calibri"/>
        <family val="2"/>
        <scheme val="minor"/>
      </rPr>
      <t xml:space="preserve"> Zertifikat</t>
    </r>
  </si>
  <si>
    <t xml:space="preserve">Ausfüllgrad dieses Tabellenblattes: </t>
  </si>
  <si>
    <t>Funktionelle Einheit:</t>
  </si>
  <si>
    <t>Gesamtmenge:</t>
  </si>
  <si>
    <t>Anzahl funktioneller Einheiten, die laut Ausschreibung gefordert sind</t>
  </si>
  <si>
    <t>PHASE 1: Produktion</t>
  </si>
  <si>
    <t>Erläuterungen</t>
  </si>
  <si>
    <t>Energieverbrauch 
der Produktion</t>
  </si>
  <si>
    <t>kWh</t>
  </si>
  <si>
    <t>PHASE 2: Transport und Installation</t>
  </si>
  <si>
    <t>Zielort</t>
  </si>
  <si>
    <t>Entfernung Startort zum Zielort</t>
  </si>
  <si>
    <t>km</t>
  </si>
  <si>
    <t>Zu transportierendes Gesamtgewicht</t>
  </si>
  <si>
    <t>kg</t>
  </si>
  <si>
    <t>Transportmittel zum Zielort</t>
  </si>
  <si>
    <t>Teilstrecke</t>
  </si>
  <si>
    <t>Gewicht</t>
  </si>
  <si>
    <t>Bezeichnung</t>
  </si>
  <si>
    <t>[km]</t>
  </si>
  <si>
    <t>[kg]</t>
  </si>
  <si>
    <t>Typ 1</t>
  </si>
  <si>
    <t>Typ 2</t>
  </si>
  <si>
    <t xml:space="preserve">Alle Transportmittel verwenden die Einheit "Tonnenkilometer". Das bedeutet, </t>
  </si>
  <si>
    <t xml:space="preserve">dass das o.g. Gesamtgewicht automatisch auf die Fahrzeugtypen aufgeteilt wird. </t>
  </si>
  <si>
    <t>Typ 3</t>
  </si>
  <si>
    <t xml:space="preserve">Sie brauchen sich keine Gedanken über die Anzahl der Fahrten zu machen, </t>
  </si>
  <si>
    <t xml:space="preserve">das wird automatisch einkalkuliert. </t>
  </si>
  <si>
    <t>Typ 4</t>
  </si>
  <si>
    <t>Weitere Informationen zu Tonnenkilometern finden Sie unter:</t>
  </si>
  <si>
    <t>Typ 5</t>
  </si>
  <si>
    <t>https://de.wikipedia.org/wiki/Tonnenkilometer</t>
  </si>
  <si>
    <t>Typ 6</t>
  </si>
  <si>
    <t>Typ 7</t>
  </si>
  <si>
    <t>Installation bzw. Errichtung</t>
  </si>
  <si>
    <t>Hier erfolgt die Eingabe der Installations- bzw. Errichtungsprozesse, z.B.</t>
  </si>
  <si>
    <t>Einsatz</t>
  </si>
  <si>
    <t>Häufigkeit 
für Gesamtmenge</t>
  </si>
  <si>
    <t>Tätigkeit 1</t>
  </si>
  <si>
    <t xml:space="preserve">Anfahrt des Montagepersonals zum Zielort, </t>
  </si>
  <si>
    <t>Tätigkeit 2</t>
  </si>
  <si>
    <t>oder</t>
  </si>
  <si>
    <t>Tätigkeit 3</t>
  </si>
  <si>
    <t>Tätigkeit 4</t>
  </si>
  <si>
    <t>Tätigkeit 5</t>
  </si>
  <si>
    <t xml:space="preserve">Wenn keine Installations- oder Errichtungsprozesse notwendig sind, </t>
  </si>
  <si>
    <t>Tätigkeit 6</t>
  </si>
  <si>
    <t>Weitere Informationen zu Personenkilometern finden Sie unter:</t>
  </si>
  <si>
    <t>Tätigkeit 7</t>
  </si>
  <si>
    <t>https://de.wikipedia.org/wiki/Personenkilometer</t>
  </si>
  <si>
    <t>PHASE 3: Nutzung &amp; Wartung</t>
  </si>
  <si>
    <t>Jahr(e)</t>
  </si>
  <si>
    <t>Vorgabe der Beschaffungsstelle in Jahren</t>
  </si>
  <si>
    <t>bitte Einheit ergänzen</t>
  </si>
  <si>
    <t>Energietyp</t>
  </si>
  <si>
    <t>Energieverbrauch pro Jahr</t>
  </si>
  <si>
    <t>/Jahr</t>
  </si>
  <si>
    <r>
      <t xml:space="preserve">Hier bitte den </t>
    </r>
    <r>
      <rPr>
        <b/>
        <i/>
        <sz val="11"/>
        <rFont val="Calibri"/>
        <family val="2"/>
        <scheme val="minor"/>
      </rPr>
      <t>maximalen</t>
    </r>
    <r>
      <rPr>
        <i/>
        <sz val="11"/>
        <rFont val="Calibri"/>
        <family val="2"/>
        <scheme val="minor"/>
      </rPr>
      <t xml:space="preserve"> Energieverbrauch pro Jahr und Energietyp eingeben</t>
    </r>
  </si>
  <si>
    <t>Emissionen in der Nutzungsphase, z.B. durch Wartungstätigkeiten</t>
  </si>
  <si>
    <t>Emissionen</t>
  </si>
  <si>
    <t>kg CO2</t>
  </si>
  <si>
    <t>Ist das Produkt wartungsfrei, dann bitte bei Tätigkeit 1 "Wartungsfrei" eintragen.</t>
  </si>
  <si>
    <t>Tätigkeit 8</t>
  </si>
  <si>
    <r>
      <t xml:space="preserve">Berechnung der THG-Emissionen </t>
    </r>
    <r>
      <rPr>
        <b/>
        <u/>
        <sz val="26"/>
        <color theme="1"/>
        <rFont val="Calibri"/>
        <family val="2"/>
        <scheme val="minor"/>
      </rPr>
      <t>ohne</t>
    </r>
    <r>
      <rPr>
        <b/>
        <sz val="26"/>
        <color theme="1"/>
        <rFont val="Calibri"/>
        <family val="2"/>
        <scheme val="minor"/>
      </rPr>
      <t xml:space="preserve"> Zertifikat</t>
    </r>
  </si>
  <si>
    <t>Ausfüllgrad dieses Tabellenblatts</t>
  </si>
  <si>
    <t>Energieverbrauch der Produktion</t>
  </si>
  <si>
    <t>kWh je funktionelle Einheit</t>
  </si>
  <si>
    <r>
      <t xml:space="preserve">Rechnerisch ermittelter Wert des Energieverbrauchs für die Herstellung </t>
    </r>
    <r>
      <rPr>
        <i/>
        <u/>
        <sz val="11"/>
        <rFont val="Calibri"/>
        <family val="2"/>
        <scheme val="minor"/>
      </rPr>
      <t>einer</t>
    </r>
    <r>
      <rPr>
        <i/>
        <sz val="11"/>
        <rFont val="Calibri"/>
        <family val="2"/>
        <scheme val="minor"/>
      </rPr>
      <t xml:space="preserve"> funktionellen Einheit.</t>
    </r>
  </si>
  <si>
    <t>THG-Emissionswert der Energieversorgung</t>
  </si>
  <si>
    <r>
      <t>kg CO</t>
    </r>
    <r>
      <rPr>
        <vertAlign val="subscript"/>
        <sz val="11"/>
        <color theme="1"/>
        <rFont val="Calibri"/>
        <family val="2"/>
        <scheme val="minor"/>
      </rPr>
      <t>2</t>
    </r>
    <r>
      <rPr>
        <sz val="11"/>
        <color theme="1"/>
        <rFont val="Calibri"/>
        <family val="2"/>
        <scheme val="minor"/>
      </rPr>
      <t>/kWh</t>
    </r>
  </si>
  <si>
    <r>
      <t>Bezogen auf den Strommix, den die finale Fertigungsstätte bezieht, z.B. 0,882 kgCO</t>
    </r>
    <r>
      <rPr>
        <i/>
        <vertAlign val="subscript"/>
        <sz val="11"/>
        <rFont val="Calibri"/>
        <family val="2"/>
        <scheme val="minor"/>
      </rPr>
      <t>2</t>
    </r>
    <r>
      <rPr>
        <i/>
        <sz val="11"/>
        <rFont val="Calibri"/>
        <family val="2"/>
        <scheme val="minor"/>
      </rPr>
      <t>/kWh bei Strom vom Kohlekraftwerk, siehe Stromrechnung bzw. Angaben Ihres Stromanbieters</t>
    </r>
  </si>
  <si>
    <t>Abschnitt plausibilisieren</t>
  </si>
  <si>
    <t>Material: Zusammensetzung der Top 10 Materialien (in Bezug auf das Gewicht), auf EINE funktionelle Einheit bezogen</t>
  </si>
  <si>
    <t xml:space="preserve">Einheit </t>
  </si>
  <si>
    <t>Material 1</t>
  </si>
  <si>
    <t>Material 2</t>
  </si>
  <si>
    <r>
      <rPr>
        <i/>
        <u/>
        <sz val="11"/>
        <rFont val="Calibri"/>
        <family val="2"/>
        <scheme val="minor"/>
      </rPr>
      <t>Anmerkung</t>
    </r>
    <r>
      <rPr>
        <i/>
        <sz val="11"/>
        <rFont val="Calibri"/>
        <family val="2"/>
        <scheme val="minor"/>
      </rPr>
      <t xml:space="preserve">: Hier können die Komponenten spezifiziert werden, z.B.  </t>
    </r>
  </si>
  <si>
    <t>Material: Beton   |   Anmerkung: Treppenstufen   |  Wert: 1800 kg</t>
  </si>
  <si>
    <t>Material 3</t>
  </si>
  <si>
    <r>
      <rPr>
        <i/>
        <u/>
        <sz val="11"/>
        <rFont val="Calibri"/>
        <family val="2"/>
        <scheme val="minor"/>
      </rPr>
      <t>Einheit</t>
    </r>
    <r>
      <rPr>
        <i/>
        <sz val="11"/>
        <rFont val="Calibri"/>
        <family val="2"/>
        <scheme val="minor"/>
      </rPr>
      <t xml:space="preserve">: passt sich automatisch dem vorne ausgewählten Material/Stoff an. </t>
    </r>
  </si>
  <si>
    <t>Material 4</t>
  </si>
  <si>
    <t>Einweg-Verpackungsmaterial ist mit aufzulisten, Mehrwegverpackung nicht.</t>
  </si>
  <si>
    <t>Material 5</t>
  </si>
  <si>
    <t>Material 6</t>
  </si>
  <si>
    <t>Material 7</t>
  </si>
  <si>
    <t>Material 8</t>
  </si>
  <si>
    <t>Material 9</t>
  </si>
  <si>
    <t>Material 10</t>
  </si>
  <si>
    <t>Eigenerklärung 
THG-Emissionen 
aus der Produktion</t>
  </si>
  <si>
    <r>
      <t>kg CO</t>
    </r>
    <r>
      <rPr>
        <b/>
        <vertAlign val="subscript"/>
        <sz val="11"/>
        <color theme="1"/>
        <rFont val="Calibri"/>
        <family val="2"/>
        <scheme val="minor"/>
      </rPr>
      <t>2e</t>
    </r>
  </si>
  <si>
    <t>für eine funktionelle Einheit</t>
  </si>
  <si>
    <t xml:space="preserve">Gesamtgewicht der Liefergüter inkl. der Verpackung. </t>
  </si>
  <si>
    <t>Häufigkeit</t>
  </si>
  <si>
    <t>für Gesamtmenge</t>
  </si>
  <si>
    <t xml:space="preserve">Jahr(e) </t>
  </si>
  <si>
    <t xml:space="preserve"> </t>
  </si>
  <si>
    <t>Vertragslaufzeit in Jahren</t>
  </si>
  <si>
    <t>Summe Transport-/Installationskosten</t>
  </si>
  <si>
    <t>Transportkosten</t>
  </si>
  <si>
    <t>Installationskosten</t>
  </si>
  <si>
    <t>Kategorien</t>
  </si>
  <si>
    <t>THG [kg CO2e]</t>
  </si>
  <si>
    <t>Wartungskosten Beschaffungsstelle</t>
  </si>
  <si>
    <t>0.1</t>
  </si>
  <si>
    <t>Gesamt</t>
  </si>
  <si>
    <t>0.2</t>
  </si>
  <si>
    <t>Gesamt/Jahr</t>
  </si>
  <si>
    <t>Produktion</t>
  </si>
  <si>
    <t>Wartungskosten Bietende</t>
  </si>
  <si>
    <t>Transport &amp; Installation</t>
  </si>
  <si>
    <t>Nutzung</t>
  </si>
  <si>
    <t>1.1</t>
  </si>
  <si>
    <t>1.2</t>
  </si>
  <si>
    <t>Energie</t>
  </si>
  <si>
    <t>2.1</t>
  </si>
  <si>
    <t>2.2</t>
  </si>
  <si>
    <t>3.1</t>
  </si>
  <si>
    <t>Wartung/Instandhaltung</t>
  </si>
  <si>
    <t>3.2</t>
  </si>
  <si>
    <t>Die Produktion umfasst sämtliche Prozesse im Rahmen der Herstellung des Produktes. 
Dies beinhaltet die Rohstoffextraktion, sämtliche Transporte, Herstellprozesse und 
(sofern vorhanden) die Montage/Installation am Produktionsstandort.</t>
  </si>
  <si>
    <t>Menge</t>
  </si>
  <si>
    <t>Energie [MJ]</t>
  </si>
  <si>
    <t>Ja=1; Nein=0</t>
  </si>
  <si>
    <t>THG-Zertifikat vorhanden?</t>
  </si>
  <si>
    <t>Variante THG-Zertifikat vorhanden</t>
  </si>
  <si>
    <t>Variante THG-Zertifikat nicht vorhanden</t>
  </si>
  <si>
    <t>Anmerkung</t>
  </si>
  <si>
    <t>Stoff</t>
  </si>
  <si>
    <t>Menge/FU</t>
  </si>
  <si>
    <t>THG_Faktor</t>
  </si>
  <si>
    <t>[kg CO2-Equiv./FU]</t>
  </si>
  <si>
    <t>Energie_Faktor</t>
  </si>
  <si>
    <t>[MJ/FU]</t>
  </si>
  <si>
    <t>THG aus Energieverbrauch</t>
  </si>
  <si>
    <t>Erneuerbar</t>
  </si>
  <si>
    <t>Wasserkraft</t>
  </si>
  <si>
    <t>Biomasse</t>
  </si>
  <si>
    <t>Windkraft</t>
  </si>
  <si>
    <t>Solarenergie</t>
  </si>
  <si>
    <t>Nicht erneuerbar</t>
  </si>
  <si>
    <t>Uran</t>
  </si>
  <si>
    <t>Steinkohle</t>
  </si>
  <si>
    <t>Summe THG aus Material</t>
  </si>
  <si>
    <t>Rohöl</t>
  </si>
  <si>
    <t>Braunkohle</t>
  </si>
  <si>
    <t>THG aus Eigenerklärung</t>
  </si>
  <si>
    <r>
      <t>THG [kg CO</t>
    </r>
    <r>
      <rPr>
        <b/>
        <vertAlign val="subscript"/>
        <sz val="11"/>
        <color theme="1"/>
        <rFont val="Calibri"/>
        <family val="2"/>
        <scheme val="minor"/>
      </rPr>
      <t>2</t>
    </r>
    <r>
      <rPr>
        <b/>
        <sz val="11"/>
        <color theme="1"/>
        <rFont val="Calibri"/>
        <family val="2"/>
        <scheme val="minor"/>
      </rPr>
      <t>e]</t>
    </r>
  </si>
  <si>
    <t>Transport</t>
  </si>
  <si>
    <t>THG_faktor</t>
  </si>
  <si>
    <t>Energie_faktor</t>
  </si>
  <si>
    <t>Prozess</t>
  </si>
  <si>
    <r>
      <t>[kg CO</t>
    </r>
    <r>
      <rPr>
        <b/>
        <vertAlign val="subscript"/>
        <sz val="11"/>
        <color theme="1"/>
        <rFont val="Calibri"/>
        <family val="2"/>
        <scheme val="minor"/>
      </rPr>
      <t>2</t>
    </r>
    <r>
      <rPr>
        <b/>
        <sz val="11"/>
        <color theme="1"/>
        <rFont val="Calibri"/>
        <family val="2"/>
        <scheme val="minor"/>
      </rPr>
      <t>-Equiv./FU]</t>
    </r>
  </si>
  <si>
    <t>Tonnentransport1</t>
  </si>
  <si>
    <t>Tonnentransport2</t>
  </si>
  <si>
    <t>Tonnentransport3</t>
  </si>
  <si>
    <t>Tonnentransport4</t>
  </si>
  <si>
    <t>Tonnentransport5</t>
  </si>
  <si>
    <t>Tonnentransport6</t>
  </si>
  <si>
    <t>Tonnentransport7</t>
  </si>
  <si>
    <t>Installationstätigkeiten</t>
  </si>
  <si>
    <t>Installation 1</t>
  </si>
  <si>
    <t>Installation 2</t>
  </si>
  <si>
    <t>Installation 3</t>
  </si>
  <si>
    <t>Installation 4</t>
  </si>
  <si>
    <t>Installation 5</t>
  </si>
  <si>
    <t>Installation 6</t>
  </si>
  <si>
    <t>Installation 7</t>
  </si>
  <si>
    <t>Betriebszeit/-leistung pro Jahr</t>
  </si>
  <si>
    <t>Betriebszeit/-leistung gesamt</t>
  </si>
  <si>
    <t>Spez. Verbrauch</t>
  </si>
  <si>
    <t>Verbrauch in kWh</t>
  </si>
  <si>
    <t>Bezugsgröße</t>
  </si>
  <si>
    <t>Emissionen Wartungstätigkeiten</t>
  </si>
  <si>
    <t>Wartungstätigkeit</t>
  </si>
  <si>
    <t>Anzahl im Lebenszyklus</t>
  </si>
  <si>
    <t>Emissionsfaktoren: Stoffe &amp; Produktionsprozesse</t>
  </si>
  <si>
    <t>Material</t>
  </si>
  <si>
    <t>Stoff/Komponent</t>
  </si>
  <si>
    <t>CO2</t>
  </si>
  <si>
    <t>CH4</t>
  </si>
  <si>
    <t>N2O</t>
  </si>
  <si>
    <t>THG</t>
  </si>
  <si>
    <t>Einheit2</t>
  </si>
  <si>
    <t>Bezugseinheit</t>
  </si>
  <si>
    <t>Kommentar</t>
  </si>
  <si>
    <t>Abholzung</t>
  </si>
  <si>
    <t>Waldrodung</t>
  </si>
  <si>
    <t>kg CO2e</t>
  </si>
  <si>
    <t>MJ</t>
  </si>
  <si>
    <t>Festmeter</t>
  </si>
  <si>
    <t>Ökobilanzmodell für die Botnia-Strecke. Håkan Stripple, IVL. Die folgenden Referenzen wurden in dem Modell verwendet: Berg, S., Lindholm, EL. 2005. Energieverbrauch und Umweltauswirkungen von Forstbetrieben in Schweden. Journal of Cleaner Production 13 (2005) 33-42; 327. Hagberg L., Karlsson PE., Stripple H., Ek M., Zetterberg T., Emissionen der schwedischen Forstindustrie und Treibhausgasaufnahme. IVL B-Bericht: B1774 (2008).</t>
  </si>
  <si>
    <t>Acrylnitril-Butadien-Styrol-Copolymer</t>
  </si>
  <si>
    <t>ABS</t>
  </si>
  <si>
    <t>https://www.probas.umweltbundesamt.de/php/prozessdetails.php?id={80AFDCFA-370D-4E0F-9293-3D3798AB99DF}</t>
  </si>
  <si>
    <t>Aluminium, Europa</t>
  </si>
  <si>
    <t>https://www.probas.umweltbundesamt.de/php/prozessdetails.php?id={D67F9971-D39A-4EAB-B872-A593687A3DB1}</t>
  </si>
  <si>
    <t>Aluminium, weltweit</t>
  </si>
  <si>
    <t xml:space="preserve">Aluminium, Produktionsmix, im Werk, RER, [kg] (Nr. 1056) Ecoinvent 2.2. Mischung aus Primär- und Sekundäraluminium nach ihrem Anteil an der weltweiten Produktion. </t>
  </si>
  <si>
    <t>Asphalt, 6,5% Bitumen</t>
  </si>
  <si>
    <t>Asphalt</t>
  </si>
  <si>
    <t>Auszug aus dem EKA-Modell 2016 mit Daten von: Energieeffizienter Asphaltbelag - Ökobilanzwerkzeug EKA, 2015, Roger Lundberg NCC Roads AB, RD &amp; D ID 4930, Schwedische Verkehrsverwaltung. Sonderbericht über Rohstoffenergie, Transport und Layout gemäß IVL 2016: Überarbeitung der Umweltdaten zur Verwendung im Berechnungstool Klimaberechnung. Nr. U5696. TRV 2016/79097.</t>
  </si>
  <si>
    <t>Bauxit, Abbaubauxit</t>
  </si>
  <si>
    <t>ProBas - Prozessdetails: Xtra-AbbauBauxit-AU-2020 (umweltbundesamt.de)</t>
  </si>
  <si>
    <t>Beton, Anlage</t>
  </si>
  <si>
    <t>Beton</t>
  </si>
  <si>
    <t>Die Auswirkungen auf das Klima und den Primärenergieverbrauch wurden auf der Grundlage einer Zusammensetzung aus Baubeton von Cementa (2015) berechnet. Zement: Cementa AB, HeidelbergCement Group. Verantwortlich für das EPD-Programm: Institut Bauen und Umwelt eV (IBU). Deklarationsnummer EPD-HCG-20140186-CAD1-DE. Ballast: Aufprallbeziehung bereits für Kies hergestellt (Gewicht 1,5 Tonnen / m3). Superplasticizer und Luftporenbildner-Zusatzmittel: EPDs von IBU mit der Deklarationsnummer EPD-EFC-20150091-IAG1-EN bzw. EPD-EFC-20150086-IAG1-EN. Wasser: Thinkstep Professional Database 2016 (15.08.2016).</t>
  </si>
  <si>
    <t>Bitumen</t>
  </si>
  <si>
    <t>Eurobitumene, Lebenszyklusinventar: Bitume, 2. Auflage Juli 2012, Herausgegeben von der European Bitumen Association</t>
  </si>
  <si>
    <t>Bitumenmatte</t>
  </si>
  <si>
    <t>Bitumen Waterproofing Association, Erklärung zu Umweltprodukten in Bezug auf "Bitumendachabdichtungssysteme, System 1 vollständig in Brand gesteckt", das internationale EPD®-System.</t>
  </si>
  <si>
    <t>Blei</t>
  </si>
  <si>
    <t>ProBas - Prozessdetails: MetallBlei-DE-primär-2020 (umweltbundesamt.de)</t>
  </si>
  <si>
    <t>Blei, recycelt: Hammond, G. &amp; Jones, C., Kohlenstoff- und Energieinventar, Version 2.0 2011, University of Bath, UK</t>
  </si>
  <si>
    <t>Bodenfliesen</t>
  </si>
  <si>
    <t>Keramik</t>
  </si>
  <si>
    <t>Stk</t>
  </si>
  <si>
    <t>https://www.natursteinonline.de/fileadmin/NatursteinDaten/bauseminar2012/Bauseminar_2019/Studie-Nachhaltigkeit-Bodenbelag_krug.pdf</t>
  </si>
  <si>
    <t>Buchenholz</t>
  </si>
  <si>
    <t>Buche</t>
  </si>
  <si>
    <t>https://www.probas.umweltbundesamt.de/php/prozessdetails.php?id=%7B0E0B2938-9043-11D3-B2C8-0080C8941B49%7D</t>
  </si>
  <si>
    <t>Dach-Tonziegel</t>
  </si>
  <si>
    <t>Dachziegel</t>
  </si>
  <si>
    <t>https://www.probas.umweltbundesamt.de/php/prozessdetails.php?id={0E0B2CB4-9043-11D3-B2C8-0080C8941B49}</t>
  </si>
  <si>
    <t>Dämmung XPS</t>
  </si>
  <si>
    <t>XPS</t>
  </si>
  <si>
    <t>m3</t>
  </si>
  <si>
    <t>https://www.ursa.de/de-de/produkte/Documents/ZT-xps-epd.pdf</t>
  </si>
  <si>
    <t>Eichenholz</t>
  </si>
  <si>
    <t>Eiche</t>
  </si>
  <si>
    <t>Elektrostahl</t>
  </si>
  <si>
    <t>ProBas - Prozessdetails: MetallStahl-Elektro-DE-2020 (umweltbundesamt.de)</t>
  </si>
  <si>
    <t>EPS, Styropor</t>
  </si>
  <si>
    <t>EPS (Styropor)</t>
  </si>
  <si>
    <t>ProBas - Prozessdetails: KunststoffEPS-DE-2020 (umweltbundesamt.de)</t>
  </si>
  <si>
    <t>Erdisolation</t>
  </si>
  <si>
    <t>BVD Isover Mark Disc 38</t>
  </si>
  <si>
    <t>Ethylen</t>
  </si>
  <si>
    <t>ProBas - Prozessdetails: Chem-OrgEthylen-DE-2020 (umweltbundesamt.de)</t>
  </si>
  <si>
    <t>Explosiver Tovex</t>
  </si>
  <si>
    <t>Sprengstoff</t>
  </si>
  <si>
    <t>Ecoinvent 2.2. Sprengstoffe, tovex, zu pflanzen, CH, [kg] (# 275).</t>
  </si>
  <si>
    <t>Faschierte Laibchen</t>
  </si>
  <si>
    <t>CO2 Rechner | Klimatarier.com</t>
  </si>
  <si>
    <t>Faschiertes gemischt</t>
  </si>
  <si>
    <t>Feinblech aus Kaltwalzwerken</t>
  </si>
  <si>
    <t>Blech</t>
  </si>
  <si>
    <t>ProBas - Prozessdetails: MetallStahl-Blech-DE-2020 (umweltbundesamt.de)</t>
  </si>
  <si>
    <t>Fichtenholz</t>
  </si>
  <si>
    <t>https://www.probas.umweltbundesamt.de/php/prozessdetails.php?id={0F4E9CF3-1236-4848-BB74-CE81C3BA4C41}</t>
  </si>
  <si>
    <t>Frischbeton für Fertigteile, AUT</t>
  </si>
  <si>
    <t>Beton_Fertig</t>
  </si>
  <si>
    <t>EPD-VÖB-BETON-2015-1-ECOINVENT</t>
  </si>
  <si>
    <t>Geotextil, PP-Textil</t>
  </si>
  <si>
    <t>Geotextil</t>
  </si>
  <si>
    <t>Umweltauswirkungen durch "Öko-Profile" von PlasticsEurope, dem Handelsverband der europäischen Kunststoffindustrie. Daten von 28 Produktionseinheiten in Europa.</t>
  </si>
  <si>
    <t>Glas, gehärtet</t>
  </si>
  <si>
    <t>Glas</t>
  </si>
  <si>
    <t>Glas, gehärtet: Hammond, G. &amp; Jones, C., Inventar von Kohlenstoff &amp; Energie, Version 2.0 2011, University of Bath, UK</t>
  </si>
  <si>
    <t>Glasfaserkabel</t>
  </si>
  <si>
    <t>LIFE07 ENV / E / 000802</t>
  </si>
  <si>
    <t>Glaswolle zur Verwendung in Batterien</t>
  </si>
  <si>
    <t>Glaswolle_Bat</t>
  </si>
  <si>
    <t>ICE Version 2.0</t>
  </si>
  <si>
    <t>Granit</t>
  </si>
  <si>
    <t>Inventar von Kohlenstoff und Energie (ICE) Version 2.0, Prof. Geoff Hammond und Craig Jones, Forschungsabteilung für nachhaltige Energie (SERT), Abteilung für Maschinenbau, Universität Bath, Großbritannien</t>
  </si>
  <si>
    <t>Granitfliese, poliert</t>
  </si>
  <si>
    <t>Granitfliese</t>
  </si>
  <si>
    <t>https://www.litosonline.com/de/article/granit-und-seine-geringe-co2-bilanz-im-vergleich-zu-anderen-baumaterialien</t>
  </si>
  <si>
    <t>Halbheißer Asphalt</t>
  </si>
  <si>
    <t>Asphalt halbheiss</t>
  </si>
  <si>
    <t>Schnittholz, skandinavisches Nadelholz, roh, pflanzenentrindet, u = 70%, zu pflanzen, NORDEL, [m3] (# 2505) Ecoinvent 2.2, Schnittholz, skandinavisches Nadelholz. Durchschnittliche Daten von neun verschiedenen Sägewerken in Schweden und Finnland, die zur Gruppe Stora Enso gehören. Moderne Technologie, die heutzutage in Schweden und Finnland eingesetzt wird. Werte von Ecoinvent dürfen nicht von Organisationen verwendet oder verbreitet werden, die keine Lizenz für Ecoinvent haben</t>
  </si>
  <si>
    <t>4G/LTE oder 5G Modul</t>
  </si>
  <si>
    <t>Stück</t>
  </si>
  <si>
    <t>scope3transparent: Treibhausgasemissionen - Scope 3.1, Daten für die
Elektronikbranche und Einkäufer:innen von IT-Geräten, Version 1.0, März 2024</t>
  </si>
  <si>
    <t>Notebook - Grundgerät (Modell 2014)</t>
  </si>
  <si>
    <t>Öko-APC-Vorhaben</t>
  </si>
  <si>
    <t>All-in-One PC, 1TB, 19"</t>
  </si>
  <si>
    <t>All-in-One PC, 1TB, 21"</t>
  </si>
  <si>
    <t>All-in-One PC, 1TB, 23"</t>
  </si>
  <si>
    <t>All-in-One PC, 512GB, 19"</t>
  </si>
  <si>
    <t>All-in-One PC, 512GB, 21"</t>
  </si>
  <si>
    <t>All-in-One PC, 512GB, 23"</t>
  </si>
  <si>
    <t>AMOLED panel pro cm131</t>
  </si>
  <si>
    <t>cm²</t>
  </si>
  <si>
    <t>Anschlussbuchse für Netzwerkgeräte, USB, RJ45 u.a.</t>
  </si>
  <si>
    <t>APC - Grundgerät (Modell 2014)</t>
  </si>
  <si>
    <t>Desktop-Monitor 22"</t>
  </si>
  <si>
    <t>Desktop-PC, Mini-/Micro-Tower, 1TB</t>
  </si>
  <si>
    <t>Desktop-PC, Mini-/Micro-Tower, 2TB</t>
  </si>
  <si>
    <t>Desktop-PC, Mini-/Micro-Tower, 512GB</t>
  </si>
  <si>
    <t>Desktop-PC, Small Form Factor, 1TB</t>
  </si>
  <si>
    <t>Desktop-PC, Small Form Factor, 2TB</t>
  </si>
  <si>
    <t>Desktop-PC, Small Form Factor, 512GB</t>
  </si>
  <si>
    <t>Desktop-PC, Tower, 1TB</t>
  </si>
  <si>
    <t>Desktop-PC, Tower, 2TB</t>
  </si>
  <si>
    <t>Desktop-PC, Tower, 512GB</t>
  </si>
  <si>
    <t>Diode Automobilelektronik, diverse Größen und Spezifikationen</t>
  </si>
  <si>
    <t>Mittelwert aus etwa 280 Einzelkomponenten</t>
  </si>
  <si>
    <t>Diode für Leistungselektronik, diverse Größen und Spezifikationen</t>
  </si>
  <si>
    <t>Mittelwert aus 22 Einzelkomponenten</t>
  </si>
  <si>
    <t>Diode für Netzwerkgeräte, diverse Größen und Spezifikationen</t>
  </si>
  <si>
    <t>Mittelwert aus 19 Einzelkomponenten</t>
  </si>
  <si>
    <t>Drucker (Standgerät, A3)</t>
  </si>
  <si>
    <t>Drucker (Tischgerät, A3)</t>
  </si>
  <si>
    <t>Drucker (Tischgerät, A4)</t>
  </si>
  <si>
    <t>einfache Funksensoren zur Erfassung von Messwerten wie Druck, Temperatur, Helligkeit, etc.</t>
  </si>
  <si>
    <t>Elektrolyt- und Film-Kondensatoren für Leistungselektronik, diverse Bauformen und Spezifikationen</t>
  </si>
  <si>
    <t>Mittelwert aus etwa 400 Einzelkomponenten</t>
  </si>
  <si>
    <t>externes Netzteil, 10-12 W (für z.B. Netzwerkgeräte)</t>
  </si>
  <si>
    <t>externes Netzteil, 12-15 W (für z.B. Audiogeräte)</t>
  </si>
  <si>
    <t>externes Netzteil, 15-20 W (für z.B. Mobilgeräte)</t>
  </si>
  <si>
    <t>externes Netzteil, 20-30 W (für z.B. Laptops)</t>
  </si>
  <si>
    <t>externes Netzteil, 30-65 W (für z.B. Laptops)</t>
  </si>
  <si>
    <t>externes Netzteil, 30-65 W (z.B. universelles Ladegerät)</t>
  </si>
  <si>
    <t>externes Netzteil, 60 W (für z.B. Akku-Werkzeug)</t>
  </si>
  <si>
    <t>externes Netzteil, 6-10 W (für z.B. Mobilgeräte)</t>
  </si>
  <si>
    <t>externes Netzteil, 65-120 W (für z.B. Laptops)</t>
  </si>
  <si>
    <t>externes Netzteil, bis 6 W</t>
  </si>
  <si>
    <t>Feature Phone</t>
  </si>
  <si>
    <t>Flex Leiterplatte, ENIG-Finish, 1-lagig</t>
  </si>
  <si>
    <t>cm² Panel</t>
  </si>
  <si>
    <t xml:space="preserve">Flex Leiterplatte, ENIG-Finish, 1-lagig, beidseitig strukturiert </t>
  </si>
  <si>
    <t>FR4 Leiterplatte HAL-Finish 1-lagig</t>
  </si>
  <si>
    <t xml:space="preserve">FR4 Leiterplatte HAL-Finish 1-lagig, beidseitig strukturiert </t>
  </si>
  <si>
    <t xml:space="preserve">FR4 Leiterplatte, ENIG-Finish, 10-lagig </t>
  </si>
  <si>
    <t>FR4 Leiterplatte, ENIG-Finish, 12-lagig</t>
  </si>
  <si>
    <t>FR4 Leiterplatte, ENIG-Finish, 4-lagig</t>
  </si>
  <si>
    <t>FR4 Leiterplatte, ENIG-Finish, 6-lagig</t>
  </si>
  <si>
    <t>FR4 Leiterplatte, ENIG-Finish, 8-lagig</t>
  </si>
  <si>
    <t>Funksensoren mit Vorverarbeitung von Messdaten</t>
  </si>
  <si>
    <t>Gaming-Headset</t>
  </si>
  <si>
    <t>Gaming-Maus</t>
  </si>
  <si>
    <t>Gaming-Tastatur</t>
  </si>
  <si>
    <t>Generischer IC</t>
  </si>
  <si>
    <t>cm² Chipfläche</t>
  </si>
  <si>
    <t>IC Automobilelektronik, Durchschnitt diverse Bauformen</t>
  </si>
  <si>
    <t>Mittelwert aus etwa 2350 Einzelkomponenten</t>
  </si>
  <si>
    <t>IC für Leistungselektronik, Durchschnitt, SO, SSOP, TSSOP, QFN Bauformen</t>
  </si>
  <si>
    <t>Mittelwert aus über 300 Einzelkomponenten</t>
  </si>
  <si>
    <t>IC für Netzwerkgeräte, Durchschnitt QFP32 Bauform</t>
  </si>
  <si>
    <t>Mittelwert aus über 600 Einzelkomponenten</t>
  </si>
  <si>
    <t>IC für Netzwerkgeräte, Durchschnitt SO8 und TSSOP8 Bauformen</t>
  </si>
  <si>
    <t>Mittelwert aus 18 Einzelkomponenten</t>
  </si>
  <si>
    <t>IC, DRAM</t>
  </si>
  <si>
    <t>IC, NAND</t>
  </si>
  <si>
    <t>IC, SoC</t>
  </si>
  <si>
    <t>Induktivität Automobilelektronik, diverse Größen und Spezifikationen</t>
  </si>
  <si>
    <t>Induktivität für Leistungselektronik, diverse Größen und Spezifikationen</t>
  </si>
  <si>
    <t>Mittelwert aus 43 Einzelkomponenten</t>
  </si>
  <si>
    <t>Induktivität für Netzwerkgeräte, diverse Größen und Spezifikationen</t>
  </si>
  <si>
    <t>Mittelwert aus 46 Einzelkomponenten</t>
  </si>
  <si>
    <t>Kernnetzserver</t>
  </si>
  <si>
    <t>komplexe Funksensoren für hohe Datenströme (Audio, Video)</t>
  </si>
  <si>
    <t>Kondensator Automobilelektronik, diverse Größen und Spezifikationen</t>
  </si>
  <si>
    <t>Mittelwert aus etwa 3400 Einzelkomponenten</t>
  </si>
  <si>
    <t>Kühlkörper für WLAN-Modul</t>
  </si>
  <si>
    <t>Laptop, 1TB, 13"</t>
  </si>
  <si>
    <t>Laptop, 1TB, 14"</t>
  </si>
  <si>
    <t>Laptop, 1TB, 15"</t>
  </si>
  <si>
    <t>Laptop, 1TB, 17"</t>
  </si>
  <si>
    <t>Laptop, 256GB, 13"</t>
  </si>
  <si>
    <t>Laptop, 256GB, 14"</t>
  </si>
  <si>
    <t>Laptop, 256GB, 15"</t>
  </si>
  <si>
    <t>Laptop, 256GB, 17"</t>
  </si>
  <si>
    <t>Laptop, 512GB, 13"</t>
  </si>
  <si>
    <t>Laptop, 512GB, 14"</t>
  </si>
  <si>
    <t>Laptop, 512GB, 15"</t>
  </si>
  <si>
    <t>Laptop, 512GB, 17"</t>
  </si>
  <si>
    <t>Laptop-Akku</t>
  </si>
  <si>
    <t>LCD Display, Smartphone, pro cm131</t>
  </si>
  <si>
    <t>LCD Display, Tablet, pro cm131</t>
  </si>
  <si>
    <t>LED Automobilelektronik, diverse Größen und Spezifikationen</t>
  </si>
  <si>
    <t>Mittelwert aus etwa 220 Einzelkomponenten</t>
  </si>
  <si>
    <t>Lithium-Akku (Lithium-Cobalt-Oxid)</t>
  </si>
  <si>
    <t>Lot Sn96,5Ag3Cu0,5 (Drähte und Stäbe, 50/50 Allokation)</t>
  </si>
  <si>
    <t>kg Lotmaterial</t>
  </si>
  <si>
    <t>Lot Sn96,5Ag3Cu0,5 (Drähte und Stäbe, primär)</t>
  </si>
  <si>
    <t>Lot Sn96,5Ag3Cu0,5 (Drähte und Stäbe, sekundär)</t>
  </si>
  <si>
    <t>Lot Sn96,5Ag3Cu0,5 (Stangen, 50/50 Allokation)</t>
  </si>
  <si>
    <t>Lot Sn96,5Ag3Cu0,5 (Stangen, primär)</t>
  </si>
  <si>
    <t>Lot Sn96,5Ag3Cu0,5 (Stangen, sekundär)</t>
  </si>
  <si>
    <t>Lot Sn97Cu3 (Drähte und Stäbe, 50/50 Allokation)</t>
  </si>
  <si>
    <t>Lot Sn97Cu3 (Drähte und Stäbe, primär)</t>
  </si>
  <si>
    <t>Lot Sn97Cu3 (Drähte und Stäbe, sekundär)</t>
  </si>
  <si>
    <t>Lot Sn97Cu3 (Stangen, 50/50 Allokation)</t>
  </si>
  <si>
    <t>Lot Sn97Cu3 (Stangen, primär)</t>
  </si>
  <si>
    <t>Lot Sn97Cu3 (Stangen, sekundär)</t>
  </si>
  <si>
    <t>Lot Sn99,3Cu0,7 (Drähte und Stäbe, 50/50 Allokation)</t>
  </si>
  <si>
    <t>Lot Sn99,3Cu0,7 (Drähte und Stäbe, primär)</t>
  </si>
  <si>
    <t>Lot Sn99,3Cu0,7 (Drähte und Stäbe, sekundär)</t>
  </si>
  <si>
    <t>Lot Sn99,3Cu0,7 (Stangen, 50/50 Allokation)</t>
  </si>
  <si>
    <t>Lot Sn99,3Cu0,7 (Stangen, primär)</t>
  </si>
  <si>
    <t>Lot Sn99,3Cu0,7 (Stangen, sekundär)</t>
  </si>
  <si>
    <t>Lot Sn99,9 (Drähte und Stäbe, 50/50 Allokation)</t>
  </si>
  <si>
    <t>Lot Sn99,9 (Drähte und Stäbe, primär)</t>
  </si>
  <si>
    <t>Lot Sn99,9 (Drähte und Stäbe, sekundär)</t>
  </si>
  <si>
    <t>Lot Sn99,9 (Stangen, 50/50 Allokation)</t>
  </si>
  <si>
    <t>Lot Sn99,9 (Stangen, primär)</t>
  </si>
  <si>
    <t>Lot Sn99,9 (Stangen, sekundär)</t>
  </si>
  <si>
    <t>Lot SnCu0,7Ni0,05Ge0,005 (AOX755) (Drähte und Stäbe, 50/50 Allokation)</t>
  </si>
  <si>
    <t>Lot SnCu0,7Ni0,05Ge0,005 (AOX755) (Drähte und Stäbe, primär)</t>
  </si>
  <si>
    <t>Lot SnCu0,7Ni0,05Ge0,005 (AOX755) (Drähte und Stäbe, sekundär)</t>
  </si>
  <si>
    <t>Lot SnCu0,7Ni0,05Ge0,005 (AOX755) (Stangen, 50/50 Allokation)</t>
  </si>
  <si>
    <t>Lot SnCu0,7Ni0,05Ge0,005 (AOX755) (Stangen, primär)</t>
  </si>
  <si>
    <t>Lot SnCu0,7Ni0,05Ge0,005 (AOX755) (Stangen, sekundär)</t>
  </si>
  <si>
    <t>Maus - APC Peripheriegerät</t>
  </si>
  <si>
    <t>Maus, drahtlos</t>
  </si>
  <si>
    <t>Maus, kabelgebunden</t>
  </si>
  <si>
    <t>Mikrocontroller Automobilelektronik (inkl. Flash-Speicher)</t>
  </si>
  <si>
    <t>Mittelwert aus 161 Einzelkomponenten (ohne Mikrocontroller)</t>
  </si>
  <si>
    <t>Mikrocontroller für Leistungselektronik, LQFP</t>
  </si>
  <si>
    <t>Mittelwert aus 31 Einzelkomponenten</t>
  </si>
  <si>
    <t>MLCC-Kondensator für Leistungselektronik, diverse Größen und Spezifikationen</t>
  </si>
  <si>
    <t>Mittelwert aus 14 Einzelkomponenten</t>
  </si>
  <si>
    <t>MLCC-Kondensator für Netzwerkgeräte, diverse Größen und Spezifikationen</t>
  </si>
  <si>
    <t>Monitor, 20"</t>
  </si>
  <si>
    <t>Monitor, 22"</t>
  </si>
  <si>
    <t>Monitor, 24"</t>
  </si>
  <si>
    <t>Monitor, 27"</t>
  </si>
  <si>
    <t>Monitor, 32"</t>
  </si>
  <si>
    <t>Monitor, 40"</t>
  </si>
  <si>
    <t>Mini PC - Grundgerät (Modell 2014)</t>
  </si>
  <si>
    <t>Mini PC/Notebook - Grundgerät (Modell 2014)</t>
  </si>
  <si>
    <t>Multifunktionsdrucker (Standgerät, A3)</t>
  </si>
  <si>
    <t>Multifunktionsdrucker (Standgerät, A4)</t>
  </si>
  <si>
    <t>Multifunktionsdrucker (Tischgerät, A3)</t>
  </si>
  <si>
    <t>Multifunktionsdrucker (Tischgerät, A4)</t>
  </si>
  <si>
    <t>Notebook - Peripheriegerät</t>
  </si>
  <si>
    <t>NdFeB Magnet</t>
  </si>
  <si>
    <t>NiMH Batterie (AAA)</t>
  </si>
  <si>
    <t>Optical Network Unit (Transport- und Kernnetz)</t>
  </si>
  <si>
    <t>Pads für drahtloses Laden mobiler Endgeräte (ohne Netzteil)</t>
  </si>
  <si>
    <t>Desktop PC - Grundgerät (Modell 2014)</t>
  </si>
  <si>
    <t>Desktop PC/Mini PC - Grundgerät (Modell 2014)</t>
  </si>
  <si>
    <t>PC</t>
  </si>
  <si>
    <t>St</t>
  </si>
  <si>
    <t>UBA Deutschland 2018; UBA Deutschland 2012</t>
  </si>
  <si>
    <t>Belichtung Innenlagen (HDI)</t>
  </si>
  <si>
    <t>Prozessdurchlauf, pro 21" x 24" Panel</t>
  </si>
  <si>
    <t>scope3transparent: Treibhausgasemissionen - Scope 3.1, Daten für die
Elektronikbranche und Einkäufer:innen von IT-Geräten, Version 1.0, März 2078</t>
  </si>
  <si>
    <t>Fertigung in China, einschl. Energie, ohne Medien und Overhead</t>
  </si>
  <si>
    <t>scope3transparent: Treibhausgasemissionen - Scope 3.1, Daten für die
Elektronikbranche und Einkäufer:innen von IT-Geräten, Version 1.0, März 2026</t>
  </si>
  <si>
    <t>Fertigung in Deutschland, einschl. Energie, ohne Medien und Overhead</t>
  </si>
  <si>
    <t>scope3transparent: Treibhausgasemissionen - Scope 3.1, Daten für die
Elektronikbranche und Einkäufer:innen von IT-Geräten, Version 1.0, März 2052</t>
  </si>
  <si>
    <t>Fertigung in der Europäischen Union, einschl. Energie, ohne Medien und Overhead</t>
  </si>
  <si>
    <t>Bohrung Registrierung (HDI)</t>
  </si>
  <si>
    <t>scope3transparent: Treibhausgasemissionen - Scope 3.1, Daten für die
Elektronikbranche und Einkäufer:innen von IT-Geräten, Version 1.0, März 2081</t>
  </si>
  <si>
    <t>Fertigung in China, einschl. Energie und Werkzeuge, ohne Medien und Overhead</t>
  </si>
  <si>
    <t>scope3transparent: Treibhausgasemissionen - Scope 3.1, Daten für die
Elektronikbranche und Einkäufer:innen von IT-Geräten, Version 1.0, März 2029</t>
  </si>
  <si>
    <t>Fertigung in Deutschland, einschl. Energie und Werkzeuge, ohne Medien und Overhead</t>
  </si>
  <si>
    <t>scope3transparent: Treibhausgasemissionen - Scope 3.1, Daten für die
Elektronikbranche und Einkäufer:innen von IT-Geräten, Version 1.0, März 2055</t>
  </si>
  <si>
    <t>Fertigung in der Europäischen Union, einschl. Energie und Werkzeuge, ohne Medien und Overhead</t>
  </si>
  <si>
    <t>Entwickeln, Ätzen, Strippen (HDI, Außenlagen)</t>
  </si>
  <si>
    <t>scope3transparent: Treibhausgasemissionen - Scope 3.1, Daten für die
Elektronikbranche und Einkäufer:innen von IT-Geräten, Version 1.0, März 2091</t>
  </si>
  <si>
    <t>Fertigung in China, einschl. Energie und Prozesschemikalien, ohne Core-Material, Medien und Overhead</t>
  </si>
  <si>
    <t>scope3transparent: Treibhausgasemissionen - Scope 3.1, Daten für die
Elektronikbranche und Einkäufer:innen von IT-Geräten, Version 1.0, März 2039</t>
  </si>
  <si>
    <t>Fertigung in Deutschland, einschl. Energie und Prozesschemikalien, ohne Core-Material, Medien und Overhead</t>
  </si>
  <si>
    <t>scope3transparent: Treibhausgasemissionen - Scope 3.1, Daten für die
Elektronikbranche und Einkäufer:innen von IT-Geräten, Version 1.0, März 2065</t>
  </si>
  <si>
    <t>Fertigung in der Europäischen Union, einschl. Energie und Prozesschemikalien, ohne Core-Material, Medien und Overhead</t>
  </si>
  <si>
    <t>Entwickeln, Ätzen, Strippen (HDI, Innenlagen)</t>
  </si>
  <si>
    <t>scope3transparent: Treibhausgasemissionen - Scope 3.1, Daten für die
Elektronikbranche und Einkäufer:innen von IT-Geräten, Version 1.0, März 2079</t>
  </si>
  <si>
    <t>Fertigung in China, einschl. Energie und Prozesschemikalien, ohne Medien und Overhead</t>
  </si>
  <si>
    <t>scope3transparent: Treibhausgasemissionen - Scope 3.1, Daten für die
Elektronikbranche und Einkäufer:innen von IT-Geräten, Version 1.0, März 2027</t>
  </si>
  <si>
    <t>Fertigung in Deutschland, einschl. Energie und Prozesschemikalien, ohne Medien und Overhead</t>
  </si>
  <si>
    <t>scope3transparent: Treibhausgasemissionen - Scope 3.1, Daten für die
Elektronikbranche und Einkäufer:innen von IT-Geräten, Version 1.0, März 2053</t>
  </si>
  <si>
    <t>Fertigung in der Europäischen Union, einschl. Energie und Prozesschemikalien, ohne Medien und Overhead</t>
  </si>
  <si>
    <t>Flying Probe Test (HDI)</t>
  </si>
  <si>
    <t>scope3transparent: Treibhausgasemissionen - Scope 3.1, Daten für die
Elektronikbranche und Einkäufer:innen von IT-Geräten, Version 1.0, März 2102</t>
  </si>
  <si>
    <t>Fertigung in China, einschl. Energie, ohne Overhead</t>
  </si>
  <si>
    <t>scope3transparent: Treibhausgasemissionen - Scope 3.1, Daten für die
Elektronikbranche und Einkäufer:innen von IT-Geräten, Version 1.0, März 2050</t>
  </si>
  <si>
    <t>Fertigung in Deutschland, einschl. Energie, ohne Overhead</t>
  </si>
  <si>
    <t>scope3transparent: Treibhausgasemissionen - Scope 3.1, Daten für die
Elektronikbranche und Einkäufer:innen von IT-Geräten, Version 1.0, März 2076</t>
  </si>
  <si>
    <t>Fertigung in der Europäischen Union, einschl. Energie, ohne Overhead</t>
  </si>
  <si>
    <t>Galvanische Kupferabscheidung / Durchkontaktierung (HDI)</t>
  </si>
  <si>
    <t>scope3transparent: Treibhausgasemissionen - Scope 3.1, Daten für die
Elektronikbranche und Einkäufer:innen von IT-Geräten, Version 1.0, März 2088</t>
  </si>
  <si>
    <t>scope3transparent: Treibhausgasemissionen - Scope 3.1, Daten für die
Elektronikbranche und Einkäufer:innen von IT-Geräten, Version 1.0, März 2036</t>
  </si>
  <si>
    <t>scope3transparent: Treibhausgasemissionen - Scope 3.1, Daten für die
Elektronikbranche und Einkäufer:innen von IT-Geräten, Version 1.0, März 2062</t>
  </si>
  <si>
    <t>Hochdruckspülen (HDI)</t>
  </si>
  <si>
    <t>scope3transparent: Treibhausgasemissionen - Scope 3.1, Daten für die
Elektronikbranche und Einkäufer:innen von IT-Geräten, Version 1.0, März 2101</t>
  </si>
  <si>
    <t>scope3transparent: Treibhausgasemissionen - Scope 3.1, Daten für die
Elektronikbranche und Einkäufer:innen von IT-Geräten, Version 1.0, März 2049</t>
  </si>
  <si>
    <t>scope3transparent: Treibhausgasemissionen - Scope 3.1, Daten für die
Elektronikbranche und Einkäufer:innen von IT-Geräten, Version 1.0, März 2075</t>
  </si>
  <si>
    <t>Konturbehandlung (HDI)</t>
  </si>
  <si>
    <t>scope3transparent: Treibhausgasemissionen - Scope 3.1, Daten für die
Elektronikbranche und Einkäufer:innen von IT-Geräten, Version 1.0, März 2084</t>
  </si>
  <si>
    <t>scope3transparent: Treibhausgasemissionen - Scope 3.1, Daten für die
Elektronikbranche und Einkäufer:innen von IT-Geräten, Version 1.0, März 2032</t>
  </si>
  <si>
    <t>scope3transparent: Treibhausgasemissionen - Scope 3.1, Daten für die
Elektronikbranche und Einkäufer:innen von IT-Geräten, Version 1.0, März 2058</t>
  </si>
  <si>
    <t>Konturfräsen (HDI)</t>
  </si>
  <si>
    <t>scope3transparent: Treibhausgasemissionen - Scope 3.1, Daten für die
Elektronikbranche und Einkäufer:innen von IT-Geräten, Version 1.0, März 2100</t>
  </si>
  <si>
    <t>scope3transparent: Treibhausgasemissionen - Scope 3.1, Daten für die
Elektronikbranche und Einkäufer:innen von IT-Geräten, Version 1.0, März 2048</t>
  </si>
  <si>
    <t>scope3transparent: Treibhausgasemissionen - Scope 3.1, Daten für die
Elektronikbranche und Einkäufer:innen von IT-Geräten, Version 1.0, März 2074</t>
  </si>
  <si>
    <t>Lagenaufbau und Laminierpressen (HDI)</t>
  </si>
  <si>
    <t>scope3transparent: Treibhausgasemissionen - Scope 3.1, Daten für die
Elektronikbranche und Einkäufer:innen von IT-Geräten, Version 1.0, März 2083</t>
  </si>
  <si>
    <t>Fertigung in China, einschl. Energie, ohne Prepreg-Material, Medien und Overhead</t>
  </si>
  <si>
    <t>scope3transparent: Treibhausgasemissionen - Scope 3.1, Daten für die
Elektronikbranche und Einkäufer:innen von IT-Geräten, Version 1.0, März 2031</t>
  </si>
  <si>
    <t>Fertigung in Deutschland, einschl. Energie, ohne Prepreg-Material, Medien und Overhead</t>
  </si>
  <si>
    <t>scope3transparent: Treibhausgasemissionen - Scope 3.1, Daten für die
Elektronikbranche und Einkäufer:innen von IT-Geräten, Version 1.0, März 2057</t>
  </si>
  <si>
    <t>Fertigung in der Europäischen Union, einschl. Energie, ohne Prepreg-Material, Medien und Overhead</t>
  </si>
  <si>
    <t>Laserdirektbelichtung (HDI)</t>
  </si>
  <si>
    <t>scope3transparent: Treibhausgasemissionen - Scope 3.1, Daten für die
Elektronikbranche und Einkäufer:innen von IT-Geräten, Version 1.0, März 2090</t>
  </si>
  <si>
    <t>scope3transparent: Treibhausgasemissionen - Scope 3.1, Daten für die
Elektronikbranche und Einkäufer:innen von IT-Geräten, Version 1.0, März 2038</t>
  </si>
  <si>
    <t>scope3transparent: Treibhausgasemissionen - Scope 3.1, Daten für die
Elektronikbranche und Einkäufer:innen von IT-Geräten, Version 1.0, März 2064</t>
  </si>
  <si>
    <t>Lötstoppmaske: Belichtung (HDI)</t>
  </si>
  <si>
    <t>scope3transparent: Treibhausgasemissionen - Scope 3.1, Daten für die
Elektronikbranche und Einkäufer:innen von IT-Geräten, Version 1.0, März 2094</t>
  </si>
  <si>
    <t>IT-Prozess:Lötstoppmaske: Belichtung (HDI):Fertigung in DE</t>
  </si>
  <si>
    <t>scope3transparent: Treibhausgasemissionen - Scope 3.1, Daten für die
Elektronikbranche und Einkäufer:innen von IT-Geräten, Version 1.0, März 2042</t>
  </si>
  <si>
    <t>scope3transparent: Treibhausgasemissionen - Scope 3.1, Daten für die
Elektronikbranche und Einkäufer:innen von IT-Geräten, Version 1.0, März 2068</t>
  </si>
  <si>
    <t>Lötstoppmaske: Beschichtung (HDI)</t>
  </si>
  <si>
    <t>scope3transparent: Treibhausgasemissionen - Scope 3.1, Daten für die
Elektronikbranche und Einkäufer:innen von IT-Geräten, Version 1.0, März 2093</t>
  </si>
  <si>
    <t>scope3transparent: Treibhausgasemissionen - Scope 3.1, Daten für die
Elektronikbranche und Einkäufer:innen von IT-Geräten, Version 1.0, März 2041</t>
  </si>
  <si>
    <t>scope3transparent: Treibhausgasemissionen - Scope 3.1, Daten für die
Elektronikbranche und Einkäufer:innen von IT-Geräten, Version 1.0, März 2067</t>
  </si>
  <si>
    <t>Lötstoppmaske: Entwicklung (HDI)</t>
  </si>
  <si>
    <t>scope3transparent: Treibhausgasemissionen - Scope 3.1, Daten für die
Elektronikbranche und Einkäufer:innen von IT-Geräten, Version 1.0, März 2095</t>
  </si>
  <si>
    <t>scope3transparent: Treibhausgasemissionen - Scope 3.1, Daten für die
Elektronikbranche und Einkäufer:innen von IT-Geräten, Version 1.0, März 2043</t>
  </si>
  <si>
    <t>scope3transparent: Treibhausgasemissionen - Scope 3.1, Daten für die
Elektronikbranche und Einkäufer:innen von IT-Geräten, Version 1.0, März 2069</t>
  </si>
  <si>
    <t>Lötstoppmaske: Vorreinigen (HDI)</t>
  </si>
  <si>
    <t>scope3transparent: Treibhausgasemissionen - Scope 3.1, Daten für die
Elektronikbranche und Einkäufer:innen von IT-Geräten, Version 1.0, März 2092</t>
  </si>
  <si>
    <t>scope3transparent: Treibhausgasemissionen - Scope 3.1, Daten für die
Elektronikbranche und Einkäufer:innen von IT-Geräten, Version 1.0, März 2040</t>
  </si>
  <si>
    <t>scope3transparent: Treibhausgasemissionen - Scope 3.1, Daten für die
Elektronikbranche und Einkäufer:innen von IT-Geräten, Version 1.0, März 2066</t>
  </si>
  <si>
    <t>Oberflächenbehandlung (HDI)</t>
  </si>
  <si>
    <t>scope3transparent: Treibhausgasemissionen - Scope 3.1, Daten für die
Elektronikbranche und Einkäufer:innen von IT-Geräten, Version 1.0, März 2082</t>
  </si>
  <si>
    <t>scope3transparent: Treibhausgasemissionen - Scope 3.1, Daten für die
Elektronikbranche und Einkäufer:innen von IT-Geräten, Version 1.0, März 2030</t>
  </si>
  <si>
    <t>scope3transparent: Treibhausgasemissionen - Scope 3.1, Daten für die
Elektronikbranche und Einkäufer:innen von IT-Geräten, Version 1.0, März 2056</t>
  </si>
  <si>
    <t>Plasmaätzen (HDI)</t>
  </si>
  <si>
    <t>scope3transparent: Treibhausgasemissionen - Scope 3.1, Daten für die
Elektronikbranche und Einkäufer:innen von IT-Geräten, Version 1.0, März 2097</t>
  </si>
  <si>
    <t>scope3transparent: Treibhausgasemissionen - Scope 3.1, Daten für die
Elektronikbranche und Einkäufer:innen von IT-Geräten, Version 1.0, März 2045</t>
  </si>
  <si>
    <t>scope3transparent: Treibhausgasemissionen - Scope 3.1, Daten für die
Elektronikbranche und Einkäufer:innen von IT-Geräten, Version 1.0, März 2071</t>
  </si>
  <si>
    <t>Reinigen / Entgraten (HDI)</t>
  </si>
  <si>
    <t>scope3transparent: Treibhausgasemissionen - Scope 3.1, Daten für die
Elektronikbranche und Einkäufer:innen von IT-Geräten, Version 1.0, März 2087</t>
  </si>
  <si>
    <t>scope3transparent: Treibhausgasemissionen - Scope 3.1, Daten für die
Elektronikbranche und Einkäufer:innen von IT-Geräten, Version 1.0, März 2035</t>
  </si>
  <si>
    <t>scope3transparent: Treibhausgasemissionen - Scope 3.1, Daten für die
Elektronikbranche und Einkäufer:innen von IT-Geräten, Version 1.0, März 2061</t>
  </si>
  <si>
    <t>Röntgenbohren (HDI, Durchkontaktierungen)</t>
  </si>
  <si>
    <t>scope3transparent: Treibhausgasemissionen - Scope 3.1, Daten für die
Elektronikbranche und Einkäufer:innen von IT-Geräten, Version 1.0, März 2085</t>
  </si>
  <si>
    <t>scope3transparent: Treibhausgasemissionen - Scope 3.1, Daten für die
Elektronikbranche und Einkäufer:innen von IT-Geräten, Version 1.0, März 2033</t>
  </si>
  <si>
    <t>scope3transparent: Treibhausgasemissionen - Scope 3.1, Daten für die
Elektronikbranche und Einkäufer:innen von IT-Geräten, Version 1.0, März 2059</t>
  </si>
  <si>
    <t>Scannen (HDI)</t>
  </si>
  <si>
    <t>scope3transparent: Treibhausgasemissionen - Scope 3.1, Daten für die
Elektronikbranche und Einkäufer:innen von IT-Geräten, Version 1.0, März 2086</t>
  </si>
  <si>
    <t>scope3transparent: Treibhausgasemissionen - Scope 3.1, Daten für die
Elektronikbranche und Einkäufer:innen von IT-Geräten, Version 1.0, März 2034</t>
  </si>
  <si>
    <t>scope3transparent: Treibhausgasemissionen - Scope 3.1, Daten für die
Elektronikbranche und Einkäufer:innen von IT-Geräten, Version 1.0, März 2060</t>
  </si>
  <si>
    <t>Schablonendruck (HDI)</t>
  </si>
  <si>
    <t>scope3transparent: Treibhausgasemissionen - Scope 3.1, Daten für die
Elektronikbranche und Einkäufer:innen von IT-Geräten, Version 1.0, März 2099</t>
  </si>
  <si>
    <t>scope3transparent: Treibhausgasemissionen - Scope 3.1, Daten für die
Elektronikbranche und Einkäufer:innen von IT-Geräten, Version 1.0, März 2047</t>
  </si>
  <si>
    <t>scope3transparent: Treibhausgasemissionen - Scope 3.1, Daten für die
Elektronikbranche und Einkäufer:innen von IT-Geräten, Version 1.0, März 2073</t>
  </si>
  <si>
    <t>Stromlos Nickel/Gold-Abscheidung</t>
  </si>
  <si>
    <t>scope3transparent: Treibhausgasemissionen - Scope 3.1, Daten für die
Elektronikbranche und Einkäufer:innen von IT-Geräten, Version 1.0, März 2098</t>
  </si>
  <si>
    <t>scope3transparent: Treibhausgasemissionen - Scope 3.1, Daten für die
Elektronikbranche und Einkäufer:innen von IT-Geräten, Version 1.0, März 2046</t>
  </si>
  <si>
    <t>scope3transparent: Treibhausgasemissionen - Scope 3.1, Daten für die
Elektronikbranche und Einkäufer:innen von IT-Geräten, Version 1.0, März 2072</t>
  </si>
  <si>
    <t>Test, AOI (HDI)</t>
  </si>
  <si>
    <t>scope3transparent: Treibhausgasemissionen - Scope 3.1, Daten für die
Elektronikbranche und Einkäufer:innen von IT-Geräten, Version 1.0, März 2080</t>
  </si>
  <si>
    <t>scope3transparent: Treibhausgasemissionen - Scope 3.1, Daten für die
Elektronikbranche und Einkäufer:innen von IT-Geräten, Version 1.0, März 2028</t>
  </si>
  <si>
    <t>scope3transparent: Treibhausgasemissionen - Scope 3.1, Daten für die
Elektronikbranche und Einkäufer:innen von IT-Geräten, Version 1.0, März 2054</t>
  </si>
  <si>
    <t>Vorreinigung / Fotolack laminieren (HDI)</t>
  </si>
  <si>
    <t>scope3transparent: Treibhausgasemissionen - Scope 3.1, Daten für die
Elektronikbranche und Einkäufer:innen von IT-Geräten, Version 1.0, März 2089</t>
  </si>
  <si>
    <t>scope3transparent: Treibhausgasemissionen - Scope 3.1, Daten für die
Elektronikbranche und Einkäufer:innen von IT-Geräten, Version 1.0, März 2037</t>
  </si>
  <si>
    <t>scope3transparent: Treibhausgasemissionen - Scope 3.1, Daten für die
Elektronikbranche und Einkäufer:innen von IT-Geräten, Version 1.0, März 2063</t>
  </si>
  <si>
    <t>Vorreinigung / Laminieren Innenlagen (HDI)</t>
  </si>
  <si>
    <t>scope3transparent: Treibhausgasemissionen - Scope 3.1, Daten für die
Elektronikbranche und Einkäufer:innen von IT-Geräten, Version 1.0, März 2077</t>
  </si>
  <si>
    <t>scope3transparent: Treibhausgasemissionen - Scope 3.1, Daten für die
Elektronikbranche und Einkäufer:innen von IT-Geräten, Version 1.0, März 2025</t>
  </si>
  <si>
    <t>scope3transparent: Treibhausgasemissionen - Scope 3.1, Daten für die
Elektronikbranche und Einkäufer:innen von IT-Geräten, Version 1.0, März 2051</t>
  </si>
  <si>
    <t>Vorreinigung Oberflächenbeschichtung (HDI)</t>
  </si>
  <si>
    <t>scope3transparent: Treibhausgasemissionen - Scope 3.1, Daten für die
Elektronikbranche und Einkäufer:innen von IT-Geräten, Version 1.0, März 2096</t>
  </si>
  <si>
    <t>scope3transparent: Treibhausgasemissionen - Scope 3.1, Daten für die
Elektronikbranche und Einkäufer:innen von IT-Geräten, Version 1.0, März 2044</t>
  </si>
  <si>
    <t>scope3transparent: Treibhausgasemissionen - Scope 3.1, Daten für die
Elektronikbranche und Einkäufer:innen von IT-Geräten, Version 1.0, März 2070</t>
  </si>
  <si>
    <t>Prozessor für Netzwerkgeräte, BGA</t>
  </si>
  <si>
    <t>Mittelwert aus 30 Einzelkomponenten</t>
  </si>
  <si>
    <t>Radio Network Controller (Transport- und Kernnetz)</t>
  </si>
  <si>
    <t>Router / Gateway (Transport- und Kernnetz)</t>
  </si>
  <si>
    <t>Scanner (Tischgerät, A3)</t>
  </si>
  <si>
    <t>Scanner (Tischgerät, A4)</t>
  </si>
  <si>
    <t>Schnurlostelefon (mit Ladeschale)</t>
  </si>
  <si>
    <t>Sensor Automobilelektronik, diverse Größen und Spezifikationen</t>
  </si>
  <si>
    <t>SIM-Karte</t>
  </si>
  <si>
    <t>Smartphone (Einsteigermodell)</t>
  </si>
  <si>
    <t>Smartphone (High-End)</t>
  </si>
  <si>
    <t>Smartphone (Mittelklasse)</t>
  </si>
  <si>
    <t>SMD-Widerstand Automobilelektronik, diverse Größen und Spezifikationen</t>
  </si>
  <si>
    <t>Mittelwert aus etwa 150 Einzelkomponenten</t>
  </si>
  <si>
    <t>SMD-Widerstand für Leistungselektronik, diverse Größen und Spezifikationen</t>
  </si>
  <si>
    <t>Mittelwert aus 55 Einzelkomponenten</t>
  </si>
  <si>
    <t>SMD-Widerstand für Netzwerkgeräte, diverse Größen und Spezifikationen</t>
  </si>
  <si>
    <t>Mittelwert aus etwa 60 Einzelkomponenten</t>
  </si>
  <si>
    <t xml:space="preserve">Solid State Drive (SSD) </t>
  </si>
  <si>
    <t>Standard-Headset</t>
  </si>
  <si>
    <t>Switch (Transport- und Kernnetz)</t>
  </si>
  <si>
    <t>Tablet</t>
  </si>
  <si>
    <t>Tastatur, drahtlos</t>
  </si>
  <si>
    <t>Tastatur, kabelgebunden</t>
  </si>
  <si>
    <t>Transistor Automobilelektronik, diverse Größen und Spezifikationen</t>
  </si>
  <si>
    <t>Mittelwert aus 29 Einzelkomponenten</t>
  </si>
  <si>
    <t>Transistor für Leistungselektronik, Durchschnitt DFN, SOT Bauformen</t>
  </si>
  <si>
    <t>Mittelwert aus 11 Einzelkomponenten</t>
  </si>
  <si>
    <t>Transistor für Netzwerkgeräte, Durchschnitt SO-8, SOIC 24, SOT23 Bauformen</t>
  </si>
  <si>
    <t>Mittelwert aus 5 Einzelkomponenten</t>
  </si>
  <si>
    <t>WLAN-Modul</t>
  </si>
  <si>
    <t>Kalk</t>
  </si>
  <si>
    <t>Branntkalk, in Stücken, lose, im Werk, CH, [kg] (# 474) Ecoinvent 2.2. Beinhaltet den Kalzinierungsprozess. Ebenfalls enthalten ist der Stromverbrauch zum Vorheizen des Schweröls und ein Teil der gesamten Heizenergie für "Produktion" und "Verwaltung". In der Infrastruktur enthaltene Ausrüstung: 2 vertikale Öfen; Nicht enthalten ist die Verwendung feuerfester Steine, da keine Daten verfügbar sind. Nur die gemessenen Emissionen sind enthalten. Werte von Ecoinvent dürfen nicht von Organisationen verwendet oder verbreitet werden, die keine Lizenz für Ecoinvent haben</t>
  </si>
  <si>
    <t>Kalter Asphalt</t>
  </si>
  <si>
    <t>Asphalt kalt</t>
  </si>
  <si>
    <t>Kies (Gewicht 1,5 Tonnen / m3)</t>
  </si>
  <si>
    <t>Kies</t>
  </si>
  <si>
    <t>Dokumentation des Moduls zur Berechnung des Energieverbrauchs und der Treibhausgasemissionen in EFFEKT. SINTEF Technology and Society, Projekt 60R085, 2011 &amp; Methode zur Berechnung des Energieverbrauchs und der Treibhausgasemissionen für Straßenprojekte. Die norwegische öffentliche Straßenverwaltung, Bericht 2009/11</t>
  </si>
  <si>
    <t>Kren</t>
  </si>
  <si>
    <t>Meerrettich | EAT SMARTER</t>
  </si>
  <si>
    <t>Kühl-Gefrier-Kombination</t>
  </si>
  <si>
    <t>Kunststoffe Plastik - generisch</t>
  </si>
  <si>
    <t>Kunststoff</t>
  </si>
  <si>
    <t>https://www.probas.umweltbundesamt.de/php/prozessdetails.php?id={B11C6B31-A5B4-11D3-B42D-FED95173DC12}</t>
  </si>
  <si>
    <t>Kupfer</t>
  </si>
  <si>
    <t>Europäisches Kupferinstitut, Kupferblech, http://www.kupferinstitut.de/</t>
  </si>
  <si>
    <t>ProBas - Prozessdetails: MetallKupfer-DE-primär-2020 (umweltbundesamt.de)</t>
  </si>
  <si>
    <t>Leichter Klinker (Lichtfüllmaterial)</t>
  </si>
  <si>
    <t>Klinker leicht</t>
  </si>
  <si>
    <t>Ecoinvent 2.2, Streckton, zu pflanzen, DE, [kg] (# 480), Schweizerisches Zentrum für Lebenszyklusinventare. Werte von Ecoinvent dürfen nicht von Organisationen verwendet oder verbreitet werden, die keine Lizenz für Ecoinvent haben.</t>
  </si>
  <si>
    <t>Leimholz</t>
  </si>
  <si>
    <t>Südliches Laminat AS 2014, Umwelterklärung ISO 14025 / ISO21930, epd-norge.no. Die Quelldaten wurden durch Entfernen von Kohlendioxid verarbeitet.</t>
  </si>
  <si>
    <t>Lithium-Ionen-Batterie</t>
  </si>
  <si>
    <t>LiOnBatterie</t>
  </si>
  <si>
    <t>https://de.statista.com/statistik/daten/studie/1074324/umfrage/zusammensetzung-der-THG-Emissionen-bei-der-herstellung-von-e-autobatterien</t>
  </si>
  <si>
    <t>Ananas, Dose</t>
  </si>
  <si>
    <t>Ananas, frisch</t>
  </si>
  <si>
    <t>Apfel</t>
  </si>
  <si>
    <t>Bier</t>
  </si>
  <si>
    <t>l</t>
  </si>
  <si>
    <t>https://oe1.orf.at/artikel/274414/Der-oekologische-Fussabdruck-von-Bier</t>
  </si>
  <si>
    <t>Bulgur</t>
  </si>
  <si>
    <t>https://www.klimatarier.com/at/CO2_Rechner</t>
  </si>
  <si>
    <t>Butter</t>
  </si>
  <si>
    <t>Buttermilch 0,5 ltr</t>
  </si>
  <si>
    <t>L</t>
  </si>
  <si>
    <t>Couscous</t>
  </si>
  <si>
    <t>Eier</t>
  </si>
  <si>
    <t>Eisbergsalat frisch</t>
  </si>
  <si>
    <t>Endivien</t>
  </si>
  <si>
    <t>Erbsen</t>
  </si>
  <si>
    <t>Fenchel</t>
  </si>
  <si>
    <t>Feta</t>
  </si>
  <si>
    <t>Frischkäse</t>
  </si>
  <si>
    <t>Frühlingszwiebel</t>
  </si>
  <si>
    <t>Geflügelfleisch</t>
  </si>
  <si>
    <t>UBA Deutschland 2012</t>
  </si>
  <si>
    <t>Gelbe Rüben</t>
  </si>
  <si>
    <t>Gemüse</t>
  </si>
  <si>
    <t>Grillhuhn</t>
  </si>
  <si>
    <t>Grillhuhn TK</t>
  </si>
  <si>
    <t>Grüner Salat/ Häuptelsalat</t>
  </si>
  <si>
    <t>Gurken</t>
  </si>
  <si>
    <t>Haltbar-Milch 3,5% Fett, TetraPack 1 Lt.</t>
  </si>
  <si>
    <t>Hering</t>
  </si>
  <si>
    <t>Honig</t>
  </si>
  <si>
    <t>Joghurt</t>
  </si>
  <si>
    <t>Kaffee</t>
  </si>
  <si>
    <t>https://www.fr.de/wissen/beim-kaffee-faengt-co2-ausstoss-11478061.html</t>
  </si>
  <si>
    <t>Kartoffeln</t>
  </si>
  <si>
    <t>Käse</t>
  </si>
  <si>
    <t>Kichererbsen</t>
  </si>
  <si>
    <t>Kiwi</t>
  </si>
  <si>
    <t xml:space="preserve">Knoblauch frisch </t>
  </si>
  <si>
    <t>Knoblauch | EAT SMARTER</t>
  </si>
  <si>
    <t>Kohlrabi</t>
  </si>
  <si>
    <t>Kokosmilch ca 1 lt</t>
  </si>
  <si>
    <t>Koriander</t>
  </si>
  <si>
    <t>Koriander | EAT SMARTER</t>
  </si>
  <si>
    <t>Milch, Kuhmilch</t>
  </si>
  <si>
    <t>Linsen, Dose</t>
  </si>
  <si>
    <t xml:space="preserve">Linsen, getrocknet </t>
  </si>
  <si>
    <t>Lollo bianco</t>
  </si>
  <si>
    <t>Lollo rosso</t>
  </si>
  <si>
    <t>Lollo verde</t>
  </si>
  <si>
    <t>Mandarinen</t>
  </si>
  <si>
    <t>Mandarinen | EAT SMARTER</t>
  </si>
  <si>
    <t>Margarine</t>
  </si>
  <si>
    <t>Mehl</t>
  </si>
  <si>
    <t>Melanzani</t>
  </si>
  <si>
    <t>Mischbrot</t>
  </si>
  <si>
    <t>Mozzarella</t>
  </si>
  <si>
    <t>Nudeln</t>
  </si>
  <si>
    <t>Nudeln, Vollkorn</t>
  </si>
  <si>
    <t>Obst</t>
  </si>
  <si>
    <t>Oliven</t>
  </si>
  <si>
    <t>Orange</t>
  </si>
  <si>
    <t>Pfirsich Dose</t>
  </si>
  <si>
    <t>Pfirsich frisch</t>
  </si>
  <si>
    <t>Rapsöl</t>
  </si>
  <si>
    <t>Reis</t>
  </si>
  <si>
    <t>Rindfleisch_essbareTeile</t>
  </si>
  <si>
    <t>Rindfleisch_bruttogewicht</t>
  </si>
  <si>
    <t>Rosinen</t>
  </si>
  <si>
    <t>Rote Rüben frisch</t>
  </si>
  <si>
    <t>Rote Rüben gekocht Vakumiert</t>
  </si>
  <si>
    <t>Rotkraut</t>
  </si>
  <si>
    <t>Rotkraut geschnitten</t>
  </si>
  <si>
    <t>Rucola</t>
  </si>
  <si>
    <t>Salat-Mix</t>
  </si>
  <si>
    <t>Salz (NaCl)</t>
  </si>
  <si>
    <t>Tyréns, 2016. Ökobilanz Klimaauswirkung Winter Streusalz. Bericht 2016-02-12. Tyréns, Anna Pantze, mündliche Mitteilung über unterstützende Daten für Tyréns Bericht. Berechnungen in Gabi nach IVL 2016: Überarbeitung von Umweltdaten zur Verwendung im Berechnungstool Klimaberechnung. Nr. U5696. TRV 2016/79097.</t>
  </si>
  <si>
    <t>Sauerkraut</t>
  </si>
  <si>
    <t>Sauerkraut | EAT SMARTER</t>
  </si>
  <si>
    <t>Sauerrahm 20%</t>
  </si>
  <si>
    <t>Schweinefleisch</t>
  </si>
  <si>
    <t>Softdrink</t>
  </si>
  <si>
    <t>CocaCola Deutschland, Nachhaltigkeitsbericht 2019</t>
  </si>
  <si>
    <t>Spitzkohl</t>
  </si>
  <si>
    <t>Süßkartoffeln</t>
  </si>
  <si>
    <t>Tofu natur</t>
  </si>
  <si>
    <t>Tomaten</t>
  </si>
  <si>
    <t>Vogerlsalat</t>
  </si>
  <si>
    <t>Wassermelone</t>
  </si>
  <si>
    <t>Wein</t>
  </si>
  <si>
    <t>https://www.lwg.bayern.de/weinbau/087354/index.php</t>
  </si>
  <si>
    <t>Weintrauben</t>
  </si>
  <si>
    <t>Weißkraut</t>
  </si>
  <si>
    <t>Weizen</t>
  </si>
  <si>
    <t>Wirsing</t>
  </si>
  <si>
    <t>Wurst</t>
  </si>
  <si>
    <t>Zitrone</t>
  </si>
  <si>
    <t>Zucchini</t>
  </si>
  <si>
    <t>Zucker</t>
  </si>
  <si>
    <t>Zwiebeln</t>
  </si>
  <si>
    <t>Mangan</t>
  </si>
  <si>
    <t>ProBas - Prozessdetails: MetallMangan-DE-2020 (umweltbundesamt.de)</t>
  </si>
  <si>
    <t>Metall, Sonstige</t>
  </si>
  <si>
    <t>Metall</t>
  </si>
  <si>
    <t>https://www.winnipeg.ca/finance/findata/matmgt/documents/2012/682-2012/682-2012_Appendix_H-WSTP_South_End_Plant_Process_Selection_Report/Appendix%207.pdf</t>
  </si>
  <si>
    <t>Mittel für Kraftstoffe, Strom, Wärme</t>
  </si>
  <si>
    <t>J. Gode, F. Martinsson, L. Hagberg, A. Öman, J. Höglund, D. Palm (2011). Environmental Fact Book 2011 - Geschätzte Emissionsfaktoren für Kraftstoffe, Strom, Wärme und Verkehr. Värmeforsk Service AB, Stockholm, Schweden.</t>
  </si>
  <si>
    <t>Neoprenelastomer</t>
  </si>
  <si>
    <t>Plastics Europe, verarbeitet von H Stripple 2010 in der Ökobilanz für die Botanikbahn</t>
  </si>
  <si>
    <t>Nickel</t>
  </si>
  <si>
    <t>ProBas - Prozessdetails: MetallNickel-DE-2020 (umweltbundesamt.de)</t>
  </si>
  <si>
    <t>Oxygen- bzw. Sauerstoff- bzw. Blasstahlwerk</t>
  </si>
  <si>
    <t>Sauerstoffstahl</t>
  </si>
  <si>
    <t>ProBas - Prozessdetails: MetallStahl-Oxygen-DE-2020 (umweltbundesamt.de)</t>
  </si>
  <si>
    <t>Papier, neu</t>
  </si>
  <si>
    <t>https://www.papiernetz.de/informationen/nachhaltigkeitsrechner/</t>
  </si>
  <si>
    <t>Papier, recycled</t>
  </si>
  <si>
    <t>Pappe für Verpackung</t>
  </si>
  <si>
    <t>Pappe</t>
  </si>
  <si>
    <t>https://www.probas.umweltbundesamt.de/php/prozessdetails.php?id={0E0B2B9D-9043-11D3-B2C8-0080C8941B49}</t>
  </si>
  <si>
    <t>Polyamid, PA</t>
  </si>
  <si>
    <t>Polyamid</t>
  </si>
  <si>
    <t>Daten aus "Öko-Profilen der europäischen Kunststoffindustrie" (PlasticsEurope).</t>
  </si>
  <si>
    <t>Polyester</t>
  </si>
  <si>
    <t>Umweltauswirkungen durch "Öko-Profile" von PlasticsEurope, dem Handelsverband der europäischen Kunststoffindustrie. Durchschnittliche Daten für die Herstellung von amorphem PET.</t>
  </si>
  <si>
    <t>Polyethylen, HDPE</t>
  </si>
  <si>
    <t>HDPE</t>
  </si>
  <si>
    <t>ProBas - Prozessdetails: Chem-OrgHDPE-DE-2020 (umweltbundesamt.de)</t>
  </si>
  <si>
    <t>Polyethylen, LDPE</t>
  </si>
  <si>
    <t>LDPE</t>
  </si>
  <si>
    <t>ProBas - Prozessdetails: Chem-OrgLDPE-DE-2020 (umweltbundesamt.de)</t>
  </si>
  <si>
    <t>Polypropylen, PP, durch Dampfpyrolyse von Naphta</t>
  </si>
  <si>
    <t>Polypropylen, dampfpyrolysiert</t>
  </si>
  <si>
    <t>ProBas - Prozessdetails: Chem-OrgPropylen-DE-2020 (umweltbundesamt.de)</t>
  </si>
  <si>
    <t>Polypropylen, PP, durch Polimerisation</t>
  </si>
  <si>
    <t>Polypropylen, polimerisiert</t>
  </si>
  <si>
    <t>ProBas - Prozessdetails: Chem-OrgPP-DE-2020 (umweltbundesamt.de)</t>
  </si>
  <si>
    <t>Polystyrol-Polymerisation</t>
  </si>
  <si>
    <t>Polystyrol, PS</t>
  </si>
  <si>
    <t>ProBas - Prozessdetails: Chem-OrgPS-DE-2020 (umweltbundesamt.de)</t>
  </si>
  <si>
    <t>Polyurethan</t>
  </si>
  <si>
    <t>PUR-Hartschaum</t>
  </si>
  <si>
    <t>ProBas - Prozessdetails: KunststoffPUR-Hartschaum-DE-2020 (umweltbundesamt.de)</t>
  </si>
  <si>
    <t>Polyvinylchlorid (Emulsionsverfahren)</t>
  </si>
  <si>
    <t>PVC (Emulsion)</t>
  </si>
  <si>
    <t>ProBas - Prozessdetails: Chem-OrgPVC(Emulsion)-DE-2020 (umweltbundesamt.de)</t>
  </si>
  <si>
    <t>Polyvinylchlorid (Masseverfahren)</t>
  </si>
  <si>
    <t>PVC (Masse)</t>
  </si>
  <si>
    <t>ProBas - Prozessdetails: Chem-OrgPVC(Masse)-DE-2020 (umweltbundesamt.de)</t>
  </si>
  <si>
    <t>Polyvinylchlorid (Suspensionsverfahren)</t>
  </si>
  <si>
    <t>PVC (Suspension)</t>
  </si>
  <si>
    <t>ProBas - Prozessdetails: Chem-OrgPVC(Suspens)-DE-2020 (umweltbundesamt.de)</t>
  </si>
  <si>
    <t>Schwefelsäure</t>
  </si>
  <si>
    <t>Datenbank LCA Food DK</t>
  </si>
  <si>
    <t>Silikon</t>
  </si>
  <si>
    <t>Spanplatte</t>
  </si>
  <si>
    <t>https://www.probas.umweltbundesamt.de/php/prozessdetails.php?id=%7BA4227C48-C799-4A17-AC4B-8A5988F135D1%7D</t>
  </si>
  <si>
    <t>Spezialglas</t>
  </si>
  <si>
    <t>Spülmaschine</t>
  </si>
  <si>
    <t>Stahl verzinkt (1.87) der Voest (2,63)</t>
  </si>
  <si>
    <t>Schienenstahl</t>
  </si>
  <si>
    <t>Stahl verzinkt (1.87; 26.30); Voest (2.63; 22.85)</t>
  </si>
  <si>
    <t>Stahl, allgemeiner Wert, EU-Durchschnitt</t>
  </si>
  <si>
    <t>Stahl allg</t>
  </si>
  <si>
    <t>Stahl: Hammond, G. &amp; Jones, C., Inventar von Kohlenstoff &amp; Energie, Version 2.0 2011, University of Bath, UK., Basierend auf den Ökobilanzdaten der World Steel Association (Worldsteel)</t>
  </si>
  <si>
    <t>Stahl, allgemeiner Wert, EU-Durchschnitt, verzinkt</t>
  </si>
  <si>
    <t>Stahl verzinkt</t>
  </si>
  <si>
    <t>Siehe: Stahl, allgemeiner Wert, EU-Durchschnitt + Zinkbeschichtung, Teile, RER, [m2] (Nr. 1181) (umgerechnet in kg Stahl) Ecoinvent 2.2. Die Umweltauswirkungen umfassen die Prozessschritte Entfetten, Oberflächenvorbereitung, Feuerverzinkung und Endbehandlung. Für Chemikalien und Zink wurden 100 km Transport mit 32T-LKW gewogen. Es wird davon ausgegangen, dass dabei Brauchwasser im Werk erzeugt wird. Werte von Ecoinvent dürfen nicht von Organisationen verwendet oder verbreitet werden, die keine Lizenzen für Ecoinvent haben</t>
  </si>
  <si>
    <t>Stahl, Bewehrungsstäbe</t>
  </si>
  <si>
    <t>Stahl Bewehrung</t>
  </si>
  <si>
    <t>Europäische Referenz Life-Cycle Database (ELCD), Stahlbewehrung, Hochofen- und Lichtbogenofenroute, Produktionsmix, im Werk GLO S.</t>
  </si>
  <si>
    <t>Stahl, Verstärkungsdraht</t>
  </si>
  <si>
    <t>Stahl Verstärkung</t>
  </si>
  <si>
    <t>Der Emissionsfaktor und die Primärenergie bestehen aus zwei getrennten Datensätzen, von denen sich einer auf die Stahlproduktion bezieht (Europäische Referenz-Lebenszyklusdatenbank (ELCD), Stahlbewehrung, Hochofen- und Lichtbogenofenroute, Produktionsmix im Werk GLO S) und einer auf den Prozess. Einfädeln des Stahls in Verstärkungsdraht (Ecoinvent 2.2-Daten, Drahtziehen, Stahl, RER, [kg] (Nr. 1179), Schweizerisches Zentrum für Lebenszyklusinventare). Werte von Ecoinvent dürfen nicht von Organisationen verwendet oder verbreitet werden, die keine Lizenz für Ecoinvent haben.</t>
  </si>
  <si>
    <t>Stahlblech</t>
  </si>
  <si>
    <t>https://www.probas.umweltbundesamt.de/php/prozessdetails.php?id={41C90396-116F-4D69-884F-F80CBC015C72}</t>
  </si>
  <si>
    <t>Steine-Erden-Ziegel</t>
  </si>
  <si>
    <t>Mauerziegel</t>
  </si>
  <si>
    <t>https://www.probas.umweltbundesamt.de/php/prozessdetails.php?id={0E0B2CBA-9043-11D3-B2C8-0080C8941B49}</t>
  </si>
  <si>
    <t>Styrol zur Herstellung von Isolatoren</t>
  </si>
  <si>
    <t>Styrol</t>
  </si>
  <si>
    <t>Die Daten stammen aus den Öko-Profilen der europäischen Kunststoffindustrie (PlasticsEurope).</t>
  </si>
  <si>
    <t>Synthesekautschuk (Ballastmatte)</t>
  </si>
  <si>
    <t>Synthesekautschuk</t>
  </si>
  <si>
    <t>Ecoinvent 2.2 Daten, Synthesekautschuk, zu pflanzen, RER, [kg] (# 1847), Schweizerisches Zentrum für Lebenszyklusinventare. Werte von Ecoinvent dürfen nicht von Organisationen verwendet oder verbreitet werden, die keine Lizenz für Ecoinvent haben.</t>
  </si>
  <si>
    <t>Tankbeschichtung</t>
  </si>
  <si>
    <t>Tastatur</t>
  </si>
  <si>
    <t>Tastatur - APC Peripheriegerät</t>
  </si>
  <si>
    <t>Toaster</t>
  </si>
  <si>
    <t>Transformator-Öl</t>
  </si>
  <si>
    <t>Öl Transformator</t>
  </si>
  <si>
    <t>Lebenszyklusdaten für norwegisches Öl und Gas, KK Bakkane, 2002.</t>
  </si>
  <si>
    <t>Verstärkung aus Stahl, Edelstahl und Edelstahl</t>
  </si>
  <si>
    <t>Edelstahl</t>
  </si>
  <si>
    <t>Chromstahl 18/8, zu pflanzen, RER, [kg] (# 1072) Ecoinvent 2.2. Repräsentiert den Durchschnitt des weltweiten und europäischen Produktionsmix. Dies entspricht vermutlich dem Verbrauchsmix in Europa. Mischung aus unterschiedlich produzierten Stählen und Warmwalzen. Werte von Ecoinvent dürfen nicht von Organisationen verwendet oder verbreitet werden, die keine Lizenz für Ecoinvent haben</t>
  </si>
  <si>
    <t>Verzinktes Stahlblech</t>
  </si>
  <si>
    <t>Blech verzinkt</t>
  </si>
  <si>
    <t>ProBas - Prozessdetails: MetallStahl-Blech-verzinkt-DE-2020 (umweltbundesamt.de)</t>
  </si>
  <si>
    <t>Warmwalzstahl</t>
  </si>
  <si>
    <t>ProBas - Prozessdetails: MetallStahl-WarmWalz-DE-2020 (umweltbundesamt.de)</t>
  </si>
  <si>
    <t>Wäschetrockner</t>
  </si>
  <si>
    <t>Waschmaschine</t>
  </si>
  <si>
    <t>Zellplastik, expandiertes Polystyrol (leichtes Füllmaterial)</t>
  </si>
  <si>
    <t>Polystyrol</t>
  </si>
  <si>
    <t>Zement</t>
  </si>
  <si>
    <t>ProBas - Prozessdetails: Steine-ErdenZement-DE-2020 (umweltbundesamt.de)</t>
  </si>
  <si>
    <t>Zement (CEM I)</t>
  </si>
  <si>
    <t>CEM I</t>
  </si>
  <si>
    <t>Cementa AB, HeidelbergCement Group. Verantwortlich für das EPD-Programm: Institut Bauen und Umwelt eV (IBU), Deklarationsnummer: EPD-HCG-20140186-CAD1-DE. Erklärung gültig bis 29.10.2019.</t>
  </si>
  <si>
    <t>Zement (CEM II)</t>
  </si>
  <si>
    <t>CEM II</t>
  </si>
  <si>
    <t>Umweltdatenblatt gemäß EN 15804, Bauzement Standardzement CEM II / A-LL 42.5 R, gemäß EN 197-1, Cementa AB, HeidelbergCement Group.</t>
  </si>
  <si>
    <t>Zementplatte</t>
  </si>
  <si>
    <t>Inventar von Kohlenstoff und Energie (ICE) Version 2.0, Prof. Geoff Hammond und Craig Jones, Forschungsabteilung für nachhaltige Energie (SERT), Abteilung für Maschinenbau, Universität Bath, Großbritannien.</t>
  </si>
  <si>
    <t>Zink aus Zinkerzverhüttung</t>
  </si>
  <si>
    <t>Zink</t>
  </si>
  <si>
    <t>ProBas - Prozessdetails: MetallZink-DE-2020 (umweltbundesamt.de)</t>
  </si>
  <si>
    <t>Eingabe des Bietenden, siehe Tabellenblatt Emissionsfaktoren</t>
  </si>
  <si>
    <t xml:space="preserve">Emissionsfaktoren: Prozesse </t>
  </si>
  <si>
    <t>[g]</t>
  </si>
  <si>
    <t>Heizwert</t>
  </si>
  <si>
    <t>Dichte</t>
  </si>
  <si>
    <t>NOx</t>
  </si>
  <si>
    <t>PM10</t>
  </si>
  <si>
    <t>Einheit3</t>
  </si>
  <si>
    <t>spez. Verbrauch</t>
  </si>
  <si>
    <t>KEA (kumulierter Energieaufwand)</t>
  </si>
  <si>
    <t>Einheit4</t>
  </si>
  <si>
    <t>Mobilität</t>
  </si>
  <si>
    <t>Energieträger</t>
  </si>
  <si>
    <t>kWh/l</t>
  </si>
  <si>
    <t>kg/l</t>
  </si>
  <si>
    <r>
      <t>kg CO</t>
    </r>
    <r>
      <rPr>
        <vertAlign val="subscript"/>
        <sz val="11"/>
        <color theme="1"/>
        <rFont val="Calibri"/>
        <family val="2"/>
        <scheme val="minor"/>
      </rPr>
      <t>2</t>
    </r>
    <r>
      <rPr>
        <sz val="11"/>
        <color theme="1"/>
        <rFont val="Calibri"/>
        <family val="2"/>
        <scheme val="minor"/>
      </rPr>
      <t>e/l</t>
    </r>
  </si>
  <si>
    <t>UBA 2024</t>
  </si>
  <si>
    <t>kWh/kg</t>
  </si>
  <si>
    <r>
      <t>kg CO</t>
    </r>
    <r>
      <rPr>
        <vertAlign val="subscript"/>
        <sz val="11"/>
        <color theme="1"/>
        <rFont val="Calibri"/>
        <family val="2"/>
        <scheme val="minor"/>
      </rPr>
      <t>2</t>
    </r>
    <r>
      <rPr>
        <sz val="11"/>
        <color theme="1"/>
        <rFont val="Calibri"/>
        <family val="2"/>
        <scheme val="minor"/>
      </rPr>
      <t>e/kWh</t>
    </r>
  </si>
  <si>
    <t>UBA 2018</t>
  </si>
  <si>
    <t>Binnendiesel_l</t>
  </si>
  <si>
    <t>Für Marinediesel gleiche Werte</t>
  </si>
  <si>
    <t>Binnendiesel_t</t>
  </si>
  <si>
    <t>tonne</t>
  </si>
  <si>
    <t>kWh/t</t>
  </si>
  <si>
    <r>
      <t>kg CO</t>
    </r>
    <r>
      <rPr>
        <vertAlign val="subscript"/>
        <sz val="11"/>
        <color theme="1"/>
        <rFont val="Calibri"/>
        <family val="2"/>
        <scheme val="minor"/>
      </rPr>
      <t>2</t>
    </r>
    <r>
      <rPr>
        <sz val="11"/>
        <color theme="1"/>
        <rFont val="Calibri"/>
        <family val="2"/>
        <scheme val="minor"/>
      </rPr>
      <t>e/t</t>
    </r>
  </si>
  <si>
    <t>Erdgas_kg</t>
  </si>
  <si>
    <t>kg/Nm3</t>
  </si>
  <si>
    <r>
      <t>kg CO</t>
    </r>
    <r>
      <rPr>
        <vertAlign val="subscript"/>
        <sz val="11"/>
        <color theme="1"/>
        <rFont val="Calibri"/>
        <family val="2"/>
        <scheme val="minor"/>
      </rPr>
      <t>2</t>
    </r>
    <r>
      <rPr>
        <sz val="11"/>
        <color theme="1"/>
        <rFont val="Calibri"/>
        <family val="2"/>
        <scheme val="minor"/>
      </rPr>
      <t>e/kg</t>
    </r>
  </si>
  <si>
    <t>Es gibt keine Unterscheidung mehr zwischen CNG und LNG (C=comprimiert; L=flüssig)</t>
  </si>
  <si>
    <t>Flugbenzin_l</t>
  </si>
  <si>
    <t>Flugbenzin_t</t>
  </si>
  <si>
    <t>Kerosin_t</t>
  </si>
  <si>
    <t>Kerosin_l</t>
  </si>
  <si>
    <t>Marinediesel_t</t>
  </si>
  <si>
    <t>Motomix_l</t>
  </si>
  <si>
    <t>EF und Heizwert für Diesel angesetzt, da Gemsich aus Benzin und Motorenöl</t>
  </si>
  <si>
    <t>Schweröl_t</t>
  </si>
  <si>
    <t>Wasserstoff_blau_kg</t>
  </si>
  <si>
    <t>Wasserstoff_grün_kg</t>
  </si>
  <si>
    <t>Wasserstoff_türkis_kg</t>
  </si>
  <si>
    <t>Wasserstoff_grau_kg</t>
  </si>
  <si>
    <t xml:space="preserve">Liegenschaften </t>
  </si>
  <si>
    <t>Energieträger Wärme - Bezug Endenergie</t>
  </si>
  <si>
    <t>KEA</t>
  </si>
  <si>
    <t>Biogas_kWh</t>
  </si>
  <si>
    <t>berechneter Mischwert: Energiepflanzen, Gülle, Abfall, Reststoff nach TA Luft und Baurecht genehmigt</t>
  </si>
  <si>
    <t>Biogas_m3</t>
  </si>
  <si>
    <t>kWh/m3</t>
  </si>
  <si>
    <r>
      <t>kg CO</t>
    </r>
    <r>
      <rPr>
        <vertAlign val="subscript"/>
        <sz val="11"/>
        <color theme="1"/>
        <rFont val="Calibri"/>
        <family val="2"/>
        <scheme val="minor"/>
      </rPr>
      <t>2</t>
    </r>
    <r>
      <rPr>
        <sz val="11"/>
        <color theme="1"/>
        <rFont val="Calibri"/>
        <family val="2"/>
        <scheme val="minor"/>
      </rPr>
      <t>e/m</t>
    </r>
    <r>
      <rPr>
        <vertAlign val="superscript"/>
        <sz val="11"/>
        <color theme="1"/>
        <rFont val="Calibri"/>
        <family val="2"/>
        <scheme val="minor"/>
      </rPr>
      <t>3</t>
    </r>
  </si>
  <si>
    <t>Biomasse_fest_kWh</t>
  </si>
  <si>
    <t>Biomasse_fest_m3</t>
  </si>
  <si>
    <t>kg/m3</t>
  </si>
  <si>
    <t>Biomasse_fest_t</t>
  </si>
  <si>
    <t>Tonnen</t>
  </si>
  <si>
    <t>Braunkohle_kWh</t>
  </si>
  <si>
    <t>Braunkohle_t</t>
  </si>
  <si>
    <t>Braunkohle_m3</t>
  </si>
  <si>
    <t>t/m3</t>
  </si>
  <si>
    <t>Braunkohlebriketts_kWh</t>
  </si>
  <si>
    <t>Braunkohlebriketts_t</t>
  </si>
  <si>
    <t>Braunkohlebriketts_m3</t>
  </si>
  <si>
    <t>Brennholz_kWh</t>
  </si>
  <si>
    <t>RM</t>
  </si>
  <si>
    <t>kWh/RM</t>
  </si>
  <si>
    <t>t/RM</t>
  </si>
  <si>
    <r>
      <t>kg CO</t>
    </r>
    <r>
      <rPr>
        <vertAlign val="subscript"/>
        <sz val="11"/>
        <color theme="1"/>
        <rFont val="Calibri"/>
        <family val="2"/>
        <scheme val="minor"/>
      </rPr>
      <t>2</t>
    </r>
    <r>
      <rPr>
        <sz val="11"/>
        <color theme="1"/>
        <rFont val="Calibri"/>
        <family val="2"/>
        <scheme val="minor"/>
      </rPr>
      <t>e/RM</t>
    </r>
  </si>
  <si>
    <t>FM</t>
  </si>
  <si>
    <t>kWh/FM</t>
  </si>
  <si>
    <t>RM/FM</t>
  </si>
  <si>
    <r>
      <t>kg CO</t>
    </r>
    <r>
      <rPr>
        <vertAlign val="subscript"/>
        <sz val="11"/>
        <color theme="1"/>
        <rFont val="Calibri"/>
        <family val="2"/>
        <scheme val="minor"/>
      </rPr>
      <t>2</t>
    </r>
    <r>
      <rPr>
        <sz val="11"/>
        <color theme="1"/>
        <rFont val="Calibri"/>
        <family val="2"/>
        <scheme val="minor"/>
      </rPr>
      <t>e/FM</t>
    </r>
  </si>
  <si>
    <t>Erdgas_m3</t>
  </si>
  <si>
    <t>Fernwärme_kWh</t>
  </si>
  <si>
    <t>ACHTUNG: enthält nur fossilien Anteil --&gt; konservativ, damit keine Unterschätzung: Erdgas 62,2%, Steinkohle 27,3%, Braunkohle 8,9%, Heizöl El+S 1,6%</t>
  </si>
  <si>
    <t>Flüssiggas_flüssig_kWh</t>
  </si>
  <si>
    <t>Flüssiggas_flüssig_l</t>
  </si>
  <si>
    <t>Liter</t>
  </si>
  <si>
    <t>Flüssiggas_flüssig_m3</t>
  </si>
  <si>
    <t>l/m3</t>
  </si>
  <si>
    <t>Flüssiggas_flüssig_t</t>
  </si>
  <si>
    <t>kg CO2e / kWh</t>
  </si>
  <si>
    <t>kg CO2e / l</t>
  </si>
  <si>
    <t>Heizöl_leicht_kWh</t>
  </si>
  <si>
    <t>Heizöl_leicht_l</t>
  </si>
  <si>
    <t>Heizöl_leicht_m3</t>
  </si>
  <si>
    <t>Heizöl_schwer_l</t>
  </si>
  <si>
    <t>Heizöl_schwer_m3</t>
  </si>
  <si>
    <t>Heizöl_schwer_t</t>
  </si>
  <si>
    <t xml:space="preserve">Heizöl_schwer_kWh </t>
  </si>
  <si>
    <t>Holzhackschnitzel_kWh</t>
  </si>
  <si>
    <t>Holzhackschnitzel_t</t>
  </si>
  <si>
    <t>Holzhackschnitzel_m3</t>
  </si>
  <si>
    <t>Holzpellets_t</t>
  </si>
  <si>
    <t>Holzpellets_m3</t>
  </si>
  <si>
    <t>Steinkohle_kWh</t>
  </si>
  <si>
    <t>Steinkohle_t</t>
  </si>
  <si>
    <t>Steinkohle_m3</t>
  </si>
  <si>
    <t>Eintrag möglich für zusätzliche</t>
  </si>
  <si>
    <t>Energietypen. Wird in Phase 3</t>
  </si>
  <si>
    <t>Liegenschaften/Mobilität</t>
  </si>
  <si>
    <t>Strombezug aus:</t>
  </si>
  <si>
    <t>Biomethan_kWh</t>
  </si>
  <si>
    <t>Deponiegas_kWh</t>
  </si>
  <si>
    <t>flüssige_Biomasse_kWh</t>
  </si>
  <si>
    <t>Klärgas_kWh</t>
  </si>
  <si>
    <t>kg CO2e/kWh</t>
  </si>
  <si>
    <t>Photovoltaik_kWh</t>
  </si>
  <si>
    <t>Siedlungsabfall_kWh</t>
  </si>
  <si>
    <t>Tiefengeothermie_kWh</t>
  </si>
  <si>
    <t>EF so hoch, wegen F-Gasen und Leckagen</t>
  </si>
  <si>
    <t>Wasserkraft_kWh</t>
  </si>
  <si>
    <t>Wind_offshore_kWh</t>
  </si>
  <si>
    <t>Wind_onshore_kWh</t>
  </si>
  <si>
    <t>Bezugseinheit2</t>
  </si>
  <si>
    <t>Bahn_DE_Pkm</t>
  </si>
  <si>
    <t>Pkm</t>
  </si>
  <si>
    <t>kg CO2e/ Pkm</t>
  </si>
  <si>
    <t>Auslastung Nah: 24 %, Fern: 46 %</t>
  </si>
  <si>
    <t>Bahn GV_AT</t>
  </si>
  <si>
    <t>Fkm</t>
  </si>
  <si>
    <t>kg CO2e/ Fkm</t>
  </si>
  <si>
    <t>kWh/ Fkm</t>
  </si>
  <si>
    <t>UBA 2019</t>
  </si>
  <si>
    <t>Bahn PV_Pkm</t>
  </si>
  <si>
    <t>kWh/ Pkm</t>
  </si>
  <si>
    <t>Bahn PV_AT</t>
  </si>
  <si>
    <t>BEV AT (Östrom inkl. Import), Personenkilometer</t>
  </si>
  <si>
    <t>BEV AT_Pkm</t>
  </si>
  <si>
    <t>BEV AT (Östrom inkl. Import), Fahrzeugkilometer</t>
  </si>
  <si>
    <t>BEV AT</t>
  </si>
  <si>
    <t>BEV AT (Östrom), Personenkilometer</t>
  </si>
  <si>
    <t>BEV AT only_Pkm</t>
  </si>
  <si>
    <t>BEV AT (Östrom), Fahrzeugkilometer</t>
  </si>
  <si>
    <t>BEV AT only</t>
  </si>
  <si>
    <t>BEV Ökostrom_Pkm</t>
  </si>
  <si>
    <t>BEV Ökostrom</t>
  </si>
  <si>
    <t>Bus_Elektr._Ökostrom</t>
  </si>
  <si>
    <t>Wiki, UBA 2019</t>
  </si>
  <si>
    <t>Bus_Elektr._Strommix_AT</t>
  </si>
  <si>
    <t>Erdaushub Bagger</t>
  </si>
  <si>
    <t>Erdaushub_Bagger</t>
  </si>
  <si>
    <t>l/m³</t>
  </si>
  <si>
    <t>kg CO2e/m³</t>
  </si>
  <si>
    <t>EPD Bothnialine</t>
  </si>
  <si>
    <t>Erdaushub Dumper</t>
  </si>
  <si>
    <t>Erdaushub_Dumper</t>
  </si>
  <si>
    <t>Flugzeug internat_Pkm</t>
  </si>
  <si>
    <t>Flugzeug internat.</t>
  </si>
  <si>
    <t>Flugzeug nat_Pkm</t>
  </si>
  <si>
    <t>Flugzeug nat.</t>
  </si>
  <si>
    <t>Flugzeug avg_Pkm</t>
  </si>
  <si>
    <t>Flugzeug avg.</t>
  </si>
  <si>
    <t>Hotel</t>
  </si>
  <si>
    <t>Hotel_Übernachtung</t>
  </si>
  <si>
    <t>Übernachtung</t>
  </si>
  <si>
    <t>kg CO2/ÜN</t>
  </si>
  <si>
    <t xml:space="preserve">vgl. EF FC: 44.383 g/€ für 2021, 38,7821 kg/€ für 2022 </t>
  </si>
  <si>
    <t>Linienbus_Pkm</t>
  </si>
  <si>
    <t>Linienbus</t>
  </si>
  <si>
    <t>LKW avg</t>
  </si>
  <si>
    <t>LKW LNF</t>
  </si>
  <si>
    <t>LKW SNF &lt;18t</t>
  </si>
  <si>
    <t>LKW SNF &gt;18t</t>
  </si>
  <si>
    <t>Mietwagen</t>
  </si>
  <si>
    <t>Mietwagen_Euro</t>
  </si>
  <si>
    <t>Euro</t>
  </si>
  <si>
    <t>kg CO2e/€</t>
  </si>
  <si>
    <t>ÖPVN</t>
  </si>
  <si>
    <t>ÖPVN_Euro</t>
  </si>
  <si>
    <t xml:space="preserve">Wichtig: CO2-Menge ÖV  ca. 4mal so hoch </t>
  </si>
  <si>
    <t>PKW Benzin, Personenkilometer</t>
  </si>
  <si>
    <t>PKW Benzin_Pkm</t>
  </si>
  <si>
    <t>PKW Benzin, Fahrzeugkilometer</t>
  </si>
  <si>
    <t>PKW Benzin</t>
  </si>
  <si>
    <t>PKW Diesel, Personenkilometer</t>
  </si>
  <si>
    <t>PKW Diesel_Pkm</t>
  </si>
  <si>
    <t>PKW Diesel, Fahrzeugkilometer</t>
  </si>
  <si>
    <t>PKW Diesel</t>
  </si>
  <si>
    <t>PKW Durchschnitt Benzin+Diesel, Personenkilometer</t>
  </si>
  <si>
    <t>PKW avg_Pkm</t>
  </si>
  <si>
    <t>PKW Durchschnitt Benzin+Diesel, Fahrzeugkilometer</t>
  </si>
  <si>
    <t>PKW avg</t>
  </si>
  <si>
    <t>Reisebus (Diesel), Personenkilometer</t>
  </si>
  <si>
    <t>Reisebus_Pkm</t>
  </si>
  <si>
    <t>Reisebus (Diesel), Fahrzeugkilometer</t>
  </si>
  <si>
    <t>Reisebus</t>
  </si>
  <si>
    <t>Sattelzüge (40t) D, Fahrzeugkilometer</t>
  </si>
  <si>
    <t>LKW 40t</t>
  </si>
  <si>
    <t>Schneefräse</t>
  </si>
  <si>
    <t>kg CO2e/ h</t>
  </si>
  <si>
    <t>https://www.chip.de/artikel/Schneefraesen-Test-Die-preiswertesten-Schneefraesen-im-Markt-Check_179404143.html</t>
  </si>
  <si>
    <t>Taxi</t>
  </si>
  <si>
    <t>Taxi_Euro</t>
  </si>
  <si>
    <t>Unimog_Fkm</t>
  </si>
  <si>
    <t>https://www.spritmonitor.de/de/detailansicht/688571.html</t>
  </si>
  <si>
    <t>Unimog_Arbeitsleistung</t>
  </si>
  <si>
    <t>Bahn Güterverkehr elektrifiziert</t>
  </si>
  <si>
    <t>Bahn GV_el</t>
  </si>
  <si>
    <t>tkm</t>
  </si>
  <si>
    <r>
      <t>kg CO</t>
    </r>
    <r>
      <rPr>
        <vertAlign val="subscript"/>
        <sz val="11"/>
        <color theme="1"/>
        <rFont val="Calibri"/>
        <family val="2"/>
        <scheme val="minor"/>
      </rPr>
      <t>2e</t>
    </r>
    <r>
      <rPr>
        <sz val="11"/>
        <color theme="1"/>
        <rFont val="Calibri"/>
        <family val="2"/>
        <scheme val="minor"/>
      </rPr>
      <t>/tkm</t>
    </r>
  </si>
  <si>
    <t>kWh/tkm</t>
  </si>
  <si>
    <t>UBA 2021</t>
  </si>
  <si>
    <t>Bahn Güterverkehr nicht elektrifiziert</t>
  </si>
  <si>
    <t>Bahn GV_non_el</t>
  </si>
  <si>
    <t>UBA 2022</t>
  </si>
  <si>
    <t>Bahn Güterverkehr in Österreich</t>
  </si>
  <si>
    <t>Bahn GV_Tkm</t>
  </si>
  <si>
    <t>Bahn GV_EU</t>
  </si>
  <si>
    <t>UBA 2020</t>
  </si>
  <si>
    <t>LKW avg_Tkm</t>
  </si>
  <si>
    <t>LKW LNF_Tkm</t>
  </si>
  <si>
    <t>LKW SNF &lt;18t_Tkm</t>
  </si>
  <si>
    <t>LKW SNF &gt;18t_Tkm</t>
  </si>
  <si>
    <t>LKW 40t_Tkm</t>
  </si>
  <si>
    <t>Luft_Short</t>
  </si>
  <si>
    <t>Mittelwerte aus http://sasems.port.se/</t>
  </si>
  <si>
    <t>Luft_Mid</t>
  </si>
  <si>
    <t>Luft_Long</t>
  </si>
  <si>
    <t>Schiff Güterverkehr</t>
  </si>
  <si>
    <t>Schiff_GV</t>
  </si>
  <si>
    <t>UBA 2023</t>
  </si>
  <si>
    <t>Transportmittel.</t>
  </si>
  <si>
    <r>
      <t xml:space="preserve">Emissionsfaktoren: </t>
    </r>
    <r>
      <rPr>
        <b/>
        <sz val="26"/>
        <rFont val="Calibri"/>
        <family val="2"/>
        <scheme val="minor"/>
      </rPr>
      <t>Lebenszyklus</t>
    </r>
  </si>
  <si>
    <t>Kategorie</t>
  </si>
  <si>
    <t>THG_Gesamt</t>
  </si>
  <si>
    <t>Bezug</t>
  </si>
  <si>
    <t>Rollendes Material (RM)</t>
  </si>
  <si>
    <t>Instandhaltung Dieselbus Standard über Nutzungsdauer</t>
  </si>
  <si>
    <t>RM_Dieselbus_Standard_Lebenszyklus</t>
  </si>
  <si>
    <t>Lebenszyklus</t>
  </si>
  <si>
    <t>Österreichische Bundesbahn - spezifisch</t>
  </si>
  <si>
    <t xml:space="preserve">Instandhaltung Elektrobus Standard über Nutzungsdauer </t>
  </si>
  <si>
    <t>RM_Ebus_Standard_Lebenszyklus</t>
  </si>
  <si>
    <t>Batterietausch Elektrobus</t>
  </si>
  <si>
    <t>RM_Ebus_Batterietausch</t>
  </si>
  <si>
    <t xml:space="preserve">Instandhaltung Electric Multiple Unit (EMU) ("CAF Civity") über Nutzungsdauer </t>
  </si>
  <si>
    <t>RM_EMU_Lebenszyklus</t>
  </si>
  <si>
    <t>Infrastruktur</t>
  </si>
  <si>
    <t>Schienenoberflächenbehandlung inkl. Anfahrt, Abfahrt und Tätigkeit.</t>
  </si>
  <si>
    <t>Infra_Schleifen</t>
  </si>
  <si>
    <t>Infra_Schienenwechsel</t>
  </si>
  <si>
    <t xml:space="preserve">Barwert Energiekosten </t>
  </si>
  <si>
    <t xml:space="preserve">Barwert Wartungskosten durch Bietenden </t>
  </si>
  <si>
    <t xml:space="preserve">Barwert Wartungskosten durch Beschaffungsstelle </t>
  </si>
  <si>
    <t xml:space="preserve">Allgemeine Inflationsrate (p), 
d.h. jährliche Teuerungsrate der Preise für private Verbrauchsausgaben </t>
  </si>
  <si>
    <t>Summe</t>
  </si>
  <si>
    <t>Zum Vergleich: Endwert aller laufenden Kosten je funktionelle Einheit ohne Barwert (p und d)</t>
  </si>
  <si>
    <t xml:space="preserve">Benennung (= Leistungsgegenstand) gemäß Ausschreibungsunterlagen, z.B. Stück </t>
  </si>
  <si>
    <t>Tabellenblatt "Investitionsrechnung"</t>
  </si>
  <si>
    <t>###</t>
  </si>
  <si>
    <t>Bitte Preispunkte für das vorliegende Angebot separat berechnen und hier eintragen</t>
  </si>
  <si>
    <t>ggf. spezifische 
Typenbezeichnung</t>
  </si>
  <si>
    <t xml:space="preserve">ggf. 
spezifischer Hersteller  </t>
  </si>
  <si>
    <r>
      <t xml:space="preserve">Der Barwert ist - einfach erklärt - ein Begriff aus der Finanzmathematik und beschreibt den durch Abzinsung (Diskontierung) ermittelten Gegenwartswert zukünftig fälliger Zahlungen. 
</t>
    </r>
    <r>
      <rPr>
        <b/>
        <sz val="11"/>
        <color theme="1"/>
        <rFont val="Calibri"/>
        <family val="2"/>
        <scheme val="minor"/>
      </rPr>
      <t>Ermittelt wird der Barwert durch  Abzinsung der zukünftigen Zahlungen und anschließendem Summieren.</t>
    </r>
  </si>
  <si>
    <t>Aufteilung der Gesamt-Fahrstrecke auf die unterschiedlichen genutzten Transportmittel.</t>
  </si>
  <si>
    <t>Lebensmittel - Ananas, Dose</t>
  </si>
  <si>
    <t>Lebensmittel - Ananas, frisch</t>
  </si>
  <si>
    <t>Lebensmittel - Apfel</t>
  </si>
  <si>
    <t>Lebensmittel - Bier, Murauer</t>
  </si>
  <si>
    <t>Lebensmittel - Bulgur</t>
  </si>
  <si>
    <t>Lebensmittel - Butter</t>
  </si>
  <si>
    <t>Lebensmittel - Buttermilch</t>
  </si>
  <si>
    <t>Lebensmittel - Couscous</t>
  </si>
  <si>
    <t>Lebensmittel - Eier</t>
  </si>
  <si>
    <t>Lebensmittel - Eisbergsalat, frisch</t>
  </si>
  <si>
    <t>Lebensmittel - Endiviensalat, frisch</t>
  </si>
  <si>
    <t>Lebensmittel - Erbsen</t>
  </si>
  <si>
    <t>Lebensmittel - Fenchel</t>
  </si>
  <si>
    <t>Lebensmittel - Fetakäse, griechisch</t>
  </si>
  <si>
    <t>Lebensmittel - Frischkäse</t>
  </si>
  <si>
    <t>Lebensmittel - Frühlingszwiebel</t>
  </si>
  <si>
    <t>Lebensmittel - Geflügelfleisch</t>
  </si>
  <si>
    <t>Lebensmittel - Gelbe Rüben</t>
  </si>
  <si>
    <t>Lebensmittel - Gemüse, frisch</t>
  </si>
  <si>
    <t>Lebensmittel - Grillhuhn</t>
  </si>
  <si>
    <t>Lebensmittel - Grillhuhn TK</t>
  </si>
  <si>
    <t>Lebensmittel - Grüner Salat/ Häuptelsalat</t>
  </si>
  <si>
    <t>Lebensmittel - Gurken</t>
  </si>
  <si>
    <t>Lebensmittel - Haltbar-Milch 3,5% Fett, TetraPack 1 Lt.</t>
  </si>
  <si>
    <t>Lebensmittel - Hering</t>
  </si>
  <si>
    <t>Lebensmittel - Honig, aus der EU</t>
  </si>
  <si>
    <t>Lebensmittel - Joghurt</t>
  </si>
  <si>
    <t>Lebensmittel - Kaffee</t>
  </si>
  <si>
    <t>Lebensmittel - Kartoffeln, frisch</t>
  </si>
  <si>
    <t>Lebensmittel - Käse</t>
  </si>
  <si>
    <t>Lebensmittel - Kichererbsen</t>
  </si>
  <si>
    <t>Lebensmittel - Kiwi</t>
  </si>
  <si>
    <t xml:space="preserve">Lebensmittel - Knoblauch frisch </t>
  </si>
  <si>
    <t>Lebensmittel - Kohlrabi</t>
  </si>
  <si>
    <t>Lebensmittel - Kokosmilch ca 1 lt</t>
  </si>
  <si>
    <t>Lebensmittel - Koriander</t>
  </si>
  <si>
    <t>Lebensmittel - Kuhmilch</t>
  </si>
  <si>
    <t>Lebensmittel - Linsen Dose</t>
  </si>
  <si>
    <t xml:space="preserve">Lebensmittel - Linsen getrocknet </t>
  </si>
  <si>
    <t>Lebensmittel - Lollo bianco</t>
  </si>
  <si>
    <t>Lebensmittel - Lollo rosso</t>
  </si>
  <si>
    <t>Lebensmittel - Lollo verde</t>
  </si>
  <si>
    <t>Lebensmittel - Mandarinen</t>
  </si>
  <si>
    <t>Lebensmittel - Margarine</t>
  </si>
  <si>
    <t>Lebensmittel - Mehl</t>
  </si>
  <si>
    <t>Lebensmittel - Melanzani</t>
  </si>
  <si>
    <t>Lebensmittel - Mischbrot</t>
  </si>
  <si>
    <t>Lebensmittel - Mozzarella</t>
  </si>
  <si>
    <t>Lebensmittel - Nudeln</t>
  </si>
  <si>
    <t>Lebensmittel - Nudeln, Vollkorn</t>
  </si>
  <si>
    <t>Lebensmittel - Obst</t>
  </si>
  <si>
    <t>Lebensmittel - Oliven</t>
  </si>
  <si>
    <t>Lebensmittel - Orange</t>
  </si>
  <si>
    <t>Lebensmittel - Pfirsich Dose</t>
  </si>
  <si>
    <t>Lebensmittel - Pfirsich frisch</t>
  </si>
  <si>
    <t>Lebensmittel - Rapsöl</t>
  </si>
  <si>
    <t>Lebensmittel - Reis</t>
  </si>
  <si>
    <t>Lebensmittel - Rindfleisch, nur essbare Teile</t>
  </si>
  <si>
    <t>Lebensmittel - Rindfleisch, Schlachtgewicht ab Hof</t>
  </si>
  <si>
    <t>Lebensmittel - Rosinen</t>
  </si>
  <si>
    <t>Lebensmittel - Rote Rüben frisch</t>
  </si>
  <si>
    <t>Lebensmittel - Rote Rüben gekocht Vakumiert</t>
  </si>
  <si>
    <t>Lebensmittel - Rotkraut</t>
  </si>
  <si>
    <t>Lebensmittel - Rotkraut geschnitten</t>
  </si>
  <si>
    <t>Lebensmittel - Rucola</t>
  </si>
  <si>
    <t>Lebensmittel - Salat-Mix</t>
  </si>
  <si>
    <t>Lebensmittel - Salz (NaCl)</t>
  </si>
  <si>
    <t>Lebensmittel - Sauerkraut</t>
  </si>
  <si>
    <t>Lebensmittel - Sauerrahm</t>
  </si>
  <si>
    <t>Lebensmittel - Schweinefleisch</t>
  </si>
  <si>
    <t>Lebensmittel - Softdrink, Coca Cola Deutschland</t>
  </si>
  <si>
    <t>Lebensmittel - Spitzkohl</t>
  </si>
  <si>
    <t>Lebensmittel - Süßkartoffeln</t>
  </si>
  <si>
    <t>Lebensmittel - Tofu natur</t>
  </si>
  <si>
    <t>Lebensmittel - Tomaten, frisch</t>
  </si>
  <si>
    <t>Lebensmittel - Vogerlsalat, Feldsalat</t>
  </si>
  <si>
    <t>Lebensmittel - Wassermelone</t>
  </si>
  <si>
    <t>Lebensmittel - Wein, Bayern</t>
  </si>
  <si>
    <t>Lebensmittel - Weintrauben</t>
  </si>
  <si>
    <t>Lebensmittel - Weißkraut</t>
  </si>
  <si>
    <t>Lebensmittel - Weizen</t>
  </si>
  <si>
    <t>Lebensmittel - Wirsing</t>
  </si>
  <si>
    <t>Lebensmittel - Wurst</t>
  </si>
  <si>
    <t>Lebensmittel - Zitrone</t>
  </si>
  <si>
    <t>Lebensmittel - Zucchini</t>
  </si>
  <si>
    <t>Lebensmittel - Zucker</t>
  </si>
  <si>
    <t>Lebensmittel - Zwiebeln</t>
  </si>
  <si>
    <t>Lebensmittel - Magerquark</t>
  </si>
  <si>
    <t>Magerquark</t>
  </si>
  <si>
    <t>Blei, recycelt</t>
  </si>
  <si>
    <t>Lebensmittel - Faschierte Laibchen</t>
  </si>
  <si>
    <t>Lebensmittel - Faschiertes gemischt</t>
  </si>
  <si>
    <t>Lebensmittel - Meerrettich (österreichisch: Kren)</t>
  </si>
  <si>
    <t>IT - 4G/LTE oder 5G Modul</t>
  </si>
  <si>
    <t>IT - Akku</t>
  </si>
  <si>
    <t>IT - All-in-One PC, 1TB, 19"</t>
  </si>
  <si>
    <t>IT - All-in-One PC, 1TB, 21"</t>
  </si>
  <si>
    <t>IT - All-in-One PC, 1TB, 23"</t>
  </si>
  <si>
    <t>IT - All-in-One PC, 512GB, 19"</t>
  </si>
  <si>
    <t>IT - All-in-One PC, 512GB, 21"</t>
  </si>
  <si>
    <t>IT - All-in-One PC, 512GB, 23"</t>
  </si>
  <si>
    <t>IT - AMOLED panel pro cm²</t>
  </si>
  <si>
    <t>IT - Anschlussbuchse für Netzwerkgeräte, USB, RJ45 u.a.</t>
  </si>
  <si>
    <t>IT - APC DRAM Speichermodule DDR3 DIMM 4 GByte</t>
  </si>
  <si>
    <t>IT - Desktop-Monitor</t>
  </si>
  <si>
    <t>IT - Desktop-PC, Mini-/Micro-Tower, 1TB</t>
  </si>
  <si>
    <t>IT - Desktop-PC, Mini-/Micro-Tower, 2TB</t>
  </si>
  <si>
    <t>IT - Desktop-PC, Mini-/Micro-Tower, 512GB</t>
  </si>
  <si>
    <t>IT - Desktop-PC, Small Form Factor, 1TB</t>
  </si>
  <si>
    <t>IT - Desktop-PC, Small Form Factor, 2TB</t>
  </si>
  <si>
    <t>IT - Desktop-PC, Small Form Factor, 512GB</t>
  </si>
  <si>
    <t>IT - Desktop-PC, Tower, 1TB</t>
  </si>
  <si>
    <t>IT - Desktop-PC, Tower, 2TB</t>
  </si>
  <si>
    <t>IT - Desktop-PC, Tower, 512GB</t>
  </si>
  <si>
    <t>IT - Diode Automobilelektronik, diverse Größen und Spezifikationen</t>
  </si>
  <si>
    <t>IT - Diode für Leistungselektronik, diverse Größen und Spezifikationen</t>
  </si>
  <si>
    <t>IT - Diode für Netzwerkgeräte, diverse Größen und Spezifikationen</t>
  </si>
  <si>
    <t>IT - Drucker (Standgerät, A3)</t>
  </si>
  <si>
    <t>IT - Drucker (Tischgerät, A3)</t>
  </si>
  <si>
    <t>IT - Drucker (Tischgerät, A4)</t>
  </si>
  <si>
    <t>IT - einfache Funksensoren zur Erfassung von Messwerten wie Druck, Temperatur, Helligkeit, etc.</t>
  </si>
  <si>
    <t>IT - Elektrolyt- und Film-Kondensatoren für Leistungselektronik, diverse Bauformen und Spezifikationen</t>
  </si>
  <si>
    <t>IT - externes Netzteil, 10-12 W (für z.B. Netzwerkgeräte)</t>
  </si>
  <si>
    <t>IT - externes Netzteil, 12-15 W (für z.B. Audiogeräte)</t>
  </si>
  <si>
    <t>IT - externes Netzteil, 15-20 W (für z.B. Mobilgeräte)</t>
  </si>
  <si>
    <t>IT - externes Netzteil, 20-30 W (für z.B. Laptops)</t>
  </si>
  <si>
    <t>IT - externes Netzteil, 30-65 W (für z.B. Laptops)</t>
  </si>
  <si>
    <t>IT - externes Netzteil, 30-65 W (z.B. universelles Ladegerät)</t>
  </si>
  <si>
    <t>IT - externes Netzteil, 60 W (für z.B. Akku-Werkzeug)</t>
  </si>
  <si>
    <t>IT - externes Netzteil, 6-10 W (für z.B. Mobilgeräte)</t>
  </si>
  <si>
    <t>IT - externes Netzteil, 65-120 W (für z.B. Laptops)</t>
  </si>
  <si>
    <t>IT - externes Netzteil, bis 6 W</t>
  </si>
  <si>
    <t>IT - Feature Phone</t>
  </si>
  <si>
    <t>IT - Flex Leiterplatte, ENIG-Finish, 1-lagig</t>
  </si>
  <si>
    <t xml:space="preserve">IT - Flex Leiterplatte, ENIG-Finish, 1-lagig, beidseitig strukturiert </t>
  </si>
  <si>
    <t>IT - FR4 Leiterplatte HAL-Finish 1-lagig</t>
  </si>
  <si>
    <t xml:space="preserve">IT - FR4 Leiterplatte HAL-Finish 1-lagig, beidseitig strukturiert </t>
  </si>
  <si>
    <t xml:space="preserve">IT - FR4 Leiterplatte, ENIG-Finish, 10-lagig </t>
  </si>
  <si>
    <t>IT - FR4 Leiterplatte, ENIG-Finish, 12-lagig</t>
  </si>
  <si>
    <t>IT - FR4 Leiterplatte, ENIG-Finish, 4-lagig</t>
  </si>
  <si>
    <t>IT - FR4 Leiterplatte, ENIG-Finish, 6-lagig</t>
  </si>
  <si>
    <t>IT - FR4 Leiterplatte, ENIG-Finish, 8-lagig</t>
  </si>
  <si>
    <t>IT - Funksensoren mit Vorverarbeitung von Messdaten</t>
  </si>
  <si>
    <t>IT - Gaming-Headset</t>
  </si>
  <si>
    <t>IT - Gaming-Maus</t>
  </si>
  <si>
    <t>IT - Gaming-Tastatur</t>
  </si>
  <si>
    <t>IT - Generischer IC</t>
  </si>
  <si>
    <t>IT - IC Automobilelektronik, Durchschnitt diverse Bauformen</t>
  </si>
  <si>
    <t>IT - IC für Leistungselektronik, Durchschnitt, SO, SSOP, TSSOP, QFN Bauformen</t>
  </si>
  <si>
    <t>IT - IC für Netzwerkgeräte, Durchschnitt QFP32 Bauform</t>
  </si>
  <si>
    <t>IT - IC für Netzwerkgeräte, Durchschnitt SO8 und TSSOP8 Bauformen</t>
  </si>
  <si>
    <t>IT - IC, DRAM</t>
  </si>
  <si>
    <t>IT - IC, NAND</t>
  </si>
  <si>
    <t>IT - IC, SoC</t>
  </si>
  <si>
    <t>IT - Induktivität Automobilelektronik, diverse Größen und Spezifikationen</t>
  </si>
  <si>
    <t>IT - Induktivität für Leistungselektronik, diverse Größen und Spezifikationen</t>
  </si>
  <si>
    <t>IT - Induktivität für Netzwerkgeräte, diverse Größen und Spezifikationen</t>
  </si>
  <si>
    <t>IT - Kernnetzserver</t>
  </si>
  <si>
    <t>IT - komplexe Funksensoren für hohe Datenströme (Audio, Video)</t>
  </si>
  <si>
    <t>IT - Kondensator Automobilelektronik, diverse Größen und Spezifikationen</t>
  </si>
  <si>
    <t>IT - Kühlkörper für WLAN-Modul</t>
  </si>
  <si>
    <t>IT - Laptop, 1TB, 13"</t>
  </si>
  <si>
    <t>IT - Laptop, 1TB, 14"</t>
  </si>
  <si>
    <t>IT - Laptop, 1TB, 15"</t>
  </si>
  <si>
    <t>IT - Laptop, 1TB, 17"</t>
  </si>
  <si>
    <t>IT - Laptop, 256GB, 13"</t>
  </si>
  <si>
    <t>IT - Laptop, 256GB, 14"</t>
  </si>
  <si>
    <t>IT - Laptop, 256GB, 15"</t>
  </si>
  <si>
    <t>IT - Laptop, 256GB, 17"</t>
  </si>
  <si>
    <t>IT - Laptop, 512GB, 13"</t>
  </si>
  <si>
    <t>IT - Laptop, 512GB, 14"</t>
  </si>
  <si>
    <t>IT - Laptop, 512GB, 15"</t>
  </si>
  <si>
    <t>IT - Laptop, 512GB, 17"</t>
  </si>
  <si>
    <t>IT - Laptop-Akku</t>
  </si>
  <si>
    <t>IT - LCD Display, Smartphone, pro cm²</t>
  </si>
  <si>
    <t>IT - LCD Display, Tablet, pro cm²</t>
  </si>
  <si>
    <t>IT - LED Automobilelektronik, diverse Größen und Spezifikationen</t>
  </si>
  <si>
    <t>IT - Lithium-Akku (Lithium-Cobalt-Oxid)</t>
  </si>
  <si>
    <t>IT - Lot Sn96,5Ag3Cu0,5 (Drähte und Stäbe, 50/50 Allokation)</t>
  </si>
  <si>
    <t>IT - Lot Sn96,5Ag3Cu0,5 (Drähte und Stäbe, primär)</t>
  </si>
  <si>
    <t>IT - Lot Sn96,5Ag3Cu0,5 (Drähte und Stäbe, sekundär)</t>
  </si>
  <si>
    <t>IT - Lot Sn96,5Ag3Cu0,5 (Stangen, 50/50 Allokation)</t>
  </si>
  <si>
    <t>IT - Lot Sn96,5Ag3Cu0,5 (Stangen, primär)</t>
  </si>
  <si>
    <t>IT - Lot Sn96,5Ag3Cu0,5 (Stangen, sekundär)</t>
  </si>
  <si>
    <t>IT - Lot Sn97Cu3 (Drähte und Stäbe, 50/50 Allokation)</t>
  </si>
  <si>
    <t>IT - Lot Sn97Cu3 (Drähte und Stäbe, primär)</t>
  </si>
  <si>
    <t>IT - Lot Sn97Cu3 (Drähte und Stäbe, sekundär)</t>
  </si>
  <si>
    <t>IT - Lot Sn97Cu3 (Stangen, 50/50 Allokation)</t>
  </si>
  <si>
    <t>IT - Lot Sn97Cu3 (Stangen, primär)</t>
  </si>
  <si>
    <t>IT - Lot Sn97Cu3 (Stangen, sekundär)</t>
  </si>
  <si>
    <t>IT - Lot Sn99,3Cu0,7 (Drähte und Stäbe, 50/50 Allokation)</t>
  </si>
  <si>
    <t>IT - Lot Sn99,3Cu0,7 (Drähte und Stäbe, primär)</t>
  </si>
  <si>
    <t>IT - Lot Sn99,3Cu0,7 (Drähte und Stäbe, sekundär)</t>
  </si>
  <si>
    <t>IT - Lot Sn99,3Cu0,7 (Stangen, 50/50 Allokation)</t>
  </si>
  <si>
    <t>IT - Lot Sn99,3Cu0,7 (Stangen, primär)</t>
  </si>
  <si>
    <t>IT - Lot Sn99,3Cu0,7 (Stangen, sekundär)</t>
  </si>
  <si>
    <t>IT - Lot Sn99,9 (Drähte und Stäbe, 50/50 Allokation)</t>
  </si>
  <si>
    <t>IT - Lot Sn99,9 (Drähte und Stäbe, primär)</t>
  </si>
  <si>
    <t>IT - Lot Sn99,9 (Drähte und Stäbe, sekundär)</t>
  </si>
  <si>
    <t>IT - Lot Sn99,9 (Stangen, 50/50 Allokation)</t>
  </si>
  <si>
    <t>IT - Lot Sn99,9 (Stangen, primär)</t>
  </si>
  <si>
    <t>IT - Lot Sn99,9 (Stangen, sekundär)</t>
  </si>
  <si>
    <t>IT - Lot SnCu0,7Ni0,05Ge0,005 (AOX755) (Drähte und Stäbe, 50/50 Allokation)</t>
  </si>
  <si>
    <t>IT - Lot SnCu0,7Ni0,05Ge0,005 (AOX755) (Drähte und Stäbe, primär)</t>
  </si>
  <si>
    <t>IT - Lot SnCu0,7Ni0,05Ge0,005 (AOX755) (Drähte und Stäbe, sekundär)</t>
  </si>
  <si>
    <t>IT - Lot SnCu0,7Ni0,05Ge0,005 (AOX755) (Stangen, 50/50 Allokation)</t>
  </si>
  <si>
    <t>IT - Lot SnCu0,7Ni0,05Ge0,005 (AOX755) (Stangen, primär)</t>
  </si>
  <si>
    <t>IT - Lot SnCu0,7Ni0,05Ge0,005 (AOX755) (Stangen, sekundär)</t>
  </si>
  <si>
    <t>IT - Maus</t>
  </si>
  <si>
    <t>IT - Maus, drahtlos</t>
  </si>
  <si>
    <t>IT - Maus, kabelgebunden</t>
  </si>
  <si>
    <t>IT - Mikrocontroller Automobilelektronik (inkl. Flash-Speicher)</t>
  </si>
  <si>
    <t>IT - Mikrocontroller für Leistungselektronik, LQFP</t>
  </si>
  <si>
    <t>IT - MLCC-Kondensator für Leistungselektronik, diverse Größen und Spezifikationen</t>
  </si>
  <si>
    <t>IT - MLCC-Kondensator für Netzwerkgeräte, diverse Größen und Spezifikationen</t>
  </si>
  <si>
    <t>IT - Monitor, 20"</t>
  </si>
  <si>
    <t>IT - Monitor, 22"</t>
  </si>
  <si>
    <t>IT - Monitor, 24"</t>
  </si>
  <si>
    <t>IT - Monitor, 27"</t>
  </si>
  <si>
    <t>IT - Monitor, 32"</t>
  </si>
  <si>
    <t>IT - Monitor, 40"</t>
  </si>
  <si>
    <t>IT - NdFeB Magnet</t>
  </si>
  <si>
    <t>IT - NiMH Batterie (AAA)</t>
  </si>
  <si>
    <t>IT - Optical Network Unit (Transport- und Kernnetz)</t>
  </si>
  <si>
    <t>IT - Pads für drahtloses Laden mobiler Endgeräte (ohne Netzteil)</t>
  </si>
  <si>
    <t>IT - PC DVD Laufwerk</t>
  </si>
  <si>
    <t>IT - PC Festplatte 3,5“</t>
  </si>
  <si>
    <t>IT - PC Gehäuse</t>
  </si>
  <si>
    <t>IT - PC Mainboard (6 dm2 bestückte Leiterplatte)</t>
  </si>
  <si>
    <t>IT - PC Netzteil (intern)</t>
  </si>
  <si>
    <t>IT - Personal Computer</t>
  </si>
  <si>
    <t>IT - Notebook CPU</t>
  </si>
  <si>
    <t>IT - Notebook Display (15,4 Zoll)</t>
  </si>
  <si>
    <t>IT - Notebook Docking station</t>
  </si>
  <si>
    <t>IT - Notebook Gehäuse</t>
  </si>
  <si>
    <t>IT - Notebook Mainboard (1,6 dm2 bestückte Leiterplatte mit Heatpipe)</t>
  </si>
  <si>
    <t>IT - Notebook Netzteil (extern)</t>
  </si>
  <si>
    <t>IT - Mini-PC Gehäuse</t>
  </si>
  <si>
    <t>IT - Mini-PC Mainboard (1,6 dm2 bestückte Leiterplatte)</t>
  </si>
  <si>
    <t>IT - Mini-PC Netzteil (intern)</t>
  </si>
  <si>
    <t>IT - Mini-PC / Notebook DVD Laufwerk</t>
  </si>
  <si>
    <t>IT - Mini-PC / Notebook Festplatte 2,5“ (HDD)</t>
  </si>
  <si>
    <t>IT - Multifunktionsdrucker (Standgerät A3)</t>
  </si>
  <si>
    <t>IT - Multifunktionsdrucker (Standgerät A4)</t>
  </si>
  <si>
    <t>IT - Multifunktionsdrucker (Tischgerät A3)</t>
  </si>
  <si>
    <t>IT - Multifunktionsdrucker (Tischgerät A4)</t>
  </si>
  <si>
    <t>IT - PC / Mini-PC CPU</t>
  </si>
  <si>
    <t>IT-Prozess: Belichtung Innenlagen (HDI):Fertigung in CN</t>
  </si>
  <si>
    <t>IT-Prozess: Belichtung Innenlagen (HDI):Fertigung in DE</t>
  </si>
  <si>
    <t>IT-Prozess: Belichtung Innenlagen (HDI):Fertigung in der EU</t>
  </si>
  <si>
    <t>IT-Prozess: Bohrung Registrierung (HDI):Fertigung in CN</t>
  </si>
  <si>
    <t>IT-Prozess: Bohrung Registrierung (HDI):Fertigung in DE</t>
  </si>
  <si>
    <t>IT-Prozess: Bohrung Registrierung (HDI):Fertigung in der EU</t>
  </si>
  <si>
    <t>IT-Prozess: Entwickeln, Ätzen, Strippen (HDI, Außenlagen):Fertigung in CN</t>
  </si>
  <si>
    <t>IT-Prozess: Entwickeln, Ätzen, Strippen (HDI, Außenlagen):Fertigung in DE</t>
  </si>
  <si>
    <t>IT-Prozess: Entwickeln, Ätzen, Strippen (HDI, Außenlagen):Fertigung in der EU</t>
  </si>
  <si>
    <t>IT-Prozess: Entwickeln, Ätzen, Strippen (HDI, Innenlagen):Fertigung in CN</t>
  </si>
  <si>
    <t>IT-Prozess: Entwickeln, Ätzen, Strippen (HDI, Innenlagen):Fertigung in DE</t>
  </si>
  <si>
    <t>IT-Prozess: Entwickeln, Ätzen, Strippen (HDI, Innenlagen):Fertigung in der EU</t>
  </si>
  <si>
    <t>IT-Prozess: Flying Probe Test (HDI):Fertigung in CN</t>
  </si>
  <si>
    <t>IT-Prozess: Flying Probe Test (HDI):Fertigung in DE</t>
  </si>
  <si>
    <t>IT-Prozess: Flying Probe Test (HDI):Fertigung in der EU</t>
  </si>
  <si>
    <t>IT-Prozess: Galvanische Kupferabscheidung / Durchkontaktierung (HDI):Fertigung in CN</t>
  </si>
  <si>
    <t>IT-Prozess: Galvanische Kupferabscheidung / Durchkontaktierung (HDI):Fertigung in DE</t>
  </si>
  <si>
    <t>IT-Prozess: Galvanische Kupferabscheidung / Durchkontaktierung (HDI):Fertigung in der EU</t>
  </si>
  <si>
    <t>IT-Prozess: Hochdruckspülen (HDI):Fertigung in CN</t>
  </si>
  <si>
    <t>IT-Prozess: Hochdruckspülen (HDI):Fertigung in DE</t>
  </si>
  <si>
    <t>IT-Prozess: Hochdruckspülen (HDI):Fertigung in der EU</t>
  </si>
  <si>
    <t>IT-Prozess: Konturbehandlung (HDI):Fertigung in CN</t>
  </si>
  <si>
    <t>IT-Prozess: Konturbehandlung (HDI):Fertigung in DE</t>
  </si>
  <si>
    <t>IT-Prozess: Konturbehandlung (HDI):Fertigung in der EU</t>
  </si>
  <si>
    <t>IT-Prozess: Konturfräsen (HDI):Fertigung in CN</t>
  </si>
  <si>
    <t>IT-Prozess: Konturfräsen (HDI):Fertigung in DE</t>
  </si>
  <si>
    <t>IT-Prozess: Konturfräsen (HDI):Fertigung in der EU</t>
  </si>
  <si>
    <t>IT-Prozess: Lagenaufbau und Laminierpressen (HDI):Fertigung in CN</t>
  </si>
  <si>
    <t>IT-Prozess: Lagenaufbau und Laminierpressen (HDI):Fertigung in DE</t>
  </si>
  <si>
    <t>IT-Prozess: Lagenaufbau und Laminierpressen (HDI):Fertigung in der EU</t>
  </si>
  <si>
    <t>IT-Prozess: Laserdirektbelichtung (HDI):Fertigung in CN</t>
  </si>
  <si>
    <t>IT-Prozess: Laserdirektbelichtung (HDI):Fertigung in DE</t>
  </si>
  <si>
    <t>IT-Prozess: Laserdirektbelichtung (HDI):Fertigung in der EU</t>
  </si>
  <si>
    <t>IT-Prozess: Lötstoppmaske: Belichtung (HDI):Fertigung in CN</t>
  </si>
  <si>
    <t>IT-Prozess: Lötstoppmaske: Belichtung (HDI):Fertigung in der EU</t>
  </si>
  <si>
    <t>IT-Prozess: Lötstoppmaske: Beschichtung (HDI):Fertigung in CN</t>
  </si>
  <si>
    <t>IT-Prozess: Lötstoppmaske: Beschichtung (HDI):Fertigung in DE</t>
  </si>
  <si>
    <t>IT-Prozess: Lötstoppmaske: Beschichtung (HDI):Fertigung in der EU</t>
  </si>
  <si>
    <t>IT-Prozess: Lötstoppmaske: Entwicklung (HDI):Fertigung in CN</t>
  </si>
  <si>
    <t>IT-Prozess: Lötstoppmaske: Entwicklung (HDI):Fertigung in DE</t>
  </si>
  <si>
    <t>IT-Prozess: Lötstoppmaske: Entwicklung (HDI):Fertigung in der EU</t>
  </si>
  <si>
    <t>IT-Prozess: Lötstoppmaske: Vorreinigen (HDI):Fertigung in CN</t>
  </si>
  <si>
    <t>IT-Prozess: Lötstoppmaske: Vorreinigen (HDI):Fertigung in DE</t>
  </si>
  <si>
    <t>IT-Prozess: Lötstoppmaske: Vorreinigen (HDI):Fertigung in der EU</t>
  </si>
  <si>
    <t>IT-Prozess: Oberflächenbehandlung (HDI): Fertigung in CN</t>
  </si>
  <si>
    <t>IT-Prozess: Oberflächenbehandlung (HDI):Fertigung in DE</t>
  </si>
  <si>
    <t>IT-Prozess: Oberflächenbehandlung (HDI):Fertigung in der EU</t>
  </si>
  <si>
    <t>IT-Prozess: Plasmaätzen (HDI):Fertigung in CN</t>
  </si>
  <si>
    <t>IT-Prozess: Plasmaätzen (HDI):Fertigung in DE</t>
  </si>
  <si>
    <t>IT-Prozess: Plasmaätzen (HDI):Fertigung in der EU</t>
  </si>
  <si>
    <t>IT-Prozess: Reinigen / Entgraten (HDI):Fertigung in CN</t>
  </si>
  <si>
    <t>IT-Prozess: Reinigen / Entgraten (HDI):Fertigung in DE</t>
  </si>
  <si>
    <t>IT-Prozess: Reinigen / Entgraten (HDI):Fertigung in der EU</t>
  </si>
  <si>
    <t>IT-Prozess: Röntgenbohren (HDI, Durchkontaktierungen):Fertigung in CN</t>
  </si>
  <si>
    <t>IT-Prozess: Röntgenbohren (HDI, Durchkontaktierungen):Fertigung in DE</t>
  </si>
  <si>
    <t>IT-Prozess: Röntgenbohren (HDI, Durchkontaktierungen):Fertigung in der EU</t>
  </si>
  <si>
    <t>IT-Prozess: Scannen (HDI):Fertigung in CN</t>
  </si>
  <si>
    <t>IT-Prozess: Scannen (HDI):Fertigung in DE</t>
  </si>
  <si>
    <t>IT-Prozess: Scannen (HDI):Fertigung in der EU</t>
  </si>
  <si>
    <t>IT-Prozess: Schablonendruck (HDI):Fertigung in CN</t>
  </si>
  <si>
    <t>IT-Prozess: Schablonendruck (HDI):Fertigung in DE</t>
  </si>
  <si>
    <t>IT-Prozess: Schablonendruck (HDI):Fertigung in der EU</t>
  </si>
  <si>
    <t>IT-Prozess: Stromlos Nickel/Gold-Abscheidung:Fertigung in CN</t>
  </si>
  <si>
    <t>IT-Prozess: Stromlos Nickel/Gold-Abscheidung:Fertigung in DE</t>
  </si>
  <si>
    <t>IT-Prozess: Stromlos Nickel/Gold-Abscheidung:Fertigung in der EU</t>
  </si>
  <si>
    <t>IT-Prozess: Test, AOI (HDI):Fertigung in CN</t>
  </si>
  <si>
    <t>IT-Prozess: Test, AOI (HDI):Fertigung in DE</t>
  </si>
  <si>
    <t>IT-Prozess: Test, AOI (HDI):Fertigung in der EU</t>
  </si>
  <si>
    <t>IT-Prozess: Vorreinigung / Fotolack laminieren (HDI):Fertigung in CN</t>
  </si>
  <si>
    <t>IT-Prozess: Vorreinigung / Fotolack laminieren (HDI):Fertigung in DE</t>
  </si>
  <si>
    <t>IT-Prozess: Vorreinigung / Fotolack laminieren (HDI):Fertigung in der EU</t>
  </si>
  <si>
    <t>IT-Prozess: Vorreinigung / Laminieren Innenlagen (HDI):Fertigung in CN</t>
  </si>
  <si>
    <t>IT-Prozess: Vorreinigung / Laminieren Innenlagen (HDI):Fertigung in DE</t>
  </si>
  <si>
    <t>IT-Prozess: Vorreinigung / Laminieren Innenlagen (HDI):Fertigung in der EU</t>
  </si>
  <si>
    <t>IT-Prozess: Vorreinigung Oberflächenbeschichtung (HDI):Fertigung in CN</t>
  </si>
  <si>
    <t>IT-Prozess: Vorreinigung Oberflächenbeschichtung (HDI):Fertigung in DE</t>
  </si>
  <si>
    <t>IT-Prozess: Vorreinigung Oberflächenbeschichtung (HDI):Fertigung in der EU</t>
  </si>
  <si>
    <t>IT - Prozessor für Netzwerkgeräte, BGA</t>
  </si>
  <si>
    <t>IT - Radio Network Controller (Transport- und Kernnetz)</t>
  </si>
  <si>
    <t>IT - Router / Gateway (Transport- und Kernnetz)</t>
  </si>
  <si>
    <t>IT - Scanner (Tischgerät, A3)</t>
  </si>
  <si>
    <t>IT - Scanner (Tischgerät, A4)</t>
  </si>
  <si>
    <t>IT - Schnurlostelefon (mit Ladeschale)</t>
  </si>
  <si>
    <t>IT - Sensor Automobilelektronik, diverse Größen und Spezifikationen</t>
  </si>
  <si>
    <t>IT - SIM-Karte</t>
  </si>
  <si>
    <t>IT - Smartphone (Einsteigermodell)</t>
  </si>
  <si>
    <t>IT - Smartphone (High-End)</t>
  </si>
  <si>
    <t>IT - Smartphone (Mittelklasse)</t>
  </si>
  <si>
    <t>IT - SMD-Widerstand Automobilelektronik, diverse Größen und Spezifikationen</t>
  </si>
  <si>
    <t>IT - SMD-Widerstand für Leistungselektronik, diverse Größen und Spezifikationen</t>
  </si>
  <si>
    <t>IT - SMD-Widerstand für Netzwerkgeräte, diverse Größen und Spezifikationen</t>
  </si>
  <si>
    <t>IT - Solid State Drive (SSD)</t>
  </si>
  <si>
    <t>IT - Standard-Headset</t>
  </si>
  <si>
    <t>IT - Switch (Transport- und Kernnetz)</t>
  </si>
  <si>
    <t>IT - Tablet</t>
  </si>
  <si>
    <t>IT - Tastatur, drahtlos</t>
  </si>
  <si>
    <t>IT - Tastatur, kabelgebunden</t>
  </si>
  <si>
    <t>IT - Transistor Automobilelektronik, diverse Größen und Spezifikationen</t>
  </si>
  <si>
    <t>IT - Transistor für Leistungselektronik, Durchschnitt DFN, SOT Bauformen</t>
  </si>
  <si>
    <t>IT - Transistor für Netzwerkgeräte, Durchschnitt SO-8, SOIC 24, SOT23 Bauformen</t>
  </si>
  <si>
    <t>IT - WLAN-Modul</t>
  </si>
  <si>
    <t>Papier, recycelt</t>
  </si>
  <si>
    <t>Lebensmittel - Schlagsahne</t>
  </si>
  <si>
    <t>Schlagsahne</t>
  </si>
  <si>
    <t>Material/Stoff/Produktionsprozess</t>
  </si>
  <si>
    <t>Strommix Deutschland in kWh</t>
  </si>
  <si>
    <t>Ökostrom Deutschland in kWh</t>
  </si>
  <si>
    <t>Heizöl extraleicht in kWh</t>
  </si>
  <si>
    <t>Erdgas in kWh</t>
  </si>
  <si>
    <t>Flüssiggas in kWh</t>
  </si>
  <si>
    <t>Diesel (Beimischung 3.2% energetisch) in kWh</t>
  </si>
  <si>
    <t>Benzin (Beimischung 3.2% energetisch) in kWh</t>
  </si>
  <si>
    <t>Holzpellets in kWh</t>
  </si>
  <si>
    <t>Holz in kWh</t>
  </si>
  <si>
    <t>Biodiesel in kWh</t>
  </si>
  <si>
    <t>Bioethanol in kWh</t>
  </si>
  <si>
    <r>
      <t xml:space="preserve">Nettopreis(e)
bezogen auf </t>
    </r>
    <r>
      <rPr>
        <b/>
        <u/>
        <sz val="11"/>
        <color theme="1"/>
        <rFont val="Calibri"/>
        <family val="2"/>
        <scheme val="minor"/>
      </rPr>
      <t>eine</t>
    </r>
    <r>
      <rPr>
        <b/>
        <sz val="11"/>
        <color theme="1"/>
        <rFont val="Calibri"/>
        <family val="2"/>
        <scheme val="minor"/>
      </rPr>
      <t xml:space="preserve"> funktionelle Einheit</t>
    </r>
  </si>
  <si>
    <r>
      <t xml:space="preserve">Summe Einmalkosten bezogen auf </t>
    </r>
    <r>
      <rPr>
        <b/>
        <u/>
        <sz val="11"/>
        <color theme="1"/>
        <rFont val="Calibri"/>
        <family val="2"/>
        <scheme val="minor"/>
      </rPr>
      <t>eine</t>
    </r>
    <r>
      <rPr>
        <b/>
        <sz val="11"/>
        <color theme="1"/>
        <rFont val="Calibri"/>
        <family val="2"/>
        <scheme val="minor"/>
      </rPr>
      <t xml:space="preserve"> funktionelle Einheit:</t>
    </r>
  </si>
  <si>
    <r>
      <t xml:space="preserve">Gesamtsumme Transport- und Installationskosten
bezogen auf </t>
    </r>
    <r>
      <rPr>
        <b/>
        <u/>
        <sz val="11"/>
        <color theme="1"/>
        <rFont val="Calibri"/>
        <family val="2"/>
        <scheme val="minor"/>
      </rPr>
      <t>eine</t>
    </r>
    <r>
      <rPr>
        <b/>
        <sz val="11"/>
        <color theme="1"/>
        <rFont val="Calibri"/>
        <family val="2"/>
        <scheme val="minor"/>
      </rPr>
      <t xml:space="preserve"> funktionelle Einheit:</t>
    </r>
  </si>
  <si>
    <r>
      <t xml:space="preserve">Summe Transportkosten 
bezogen auf </t>
    </r>
    <r>
      <rPr>
        <b/>
        <u/>
        <sz val="11"/>
        <color theme="1"/>
        <rFont val="Calibri"/>
        <family val="2"/>
        <scheme val="minor"/>
      </rPr>
      <t>eine</t>
    </r>
    <r>
      <rPr>
        <b/>
        <sz val="11"/>
        <color theme="1"/>
        <rFont val="Calibri"/>
        <family val="2"/>
        <scheme val="minor"/>
      </rPr>
      <t xml:space="preserve"> funktionelle Einheit:</t>
    </r>
  </si>
  <si>
    <r>
      <t xml:space="preserve">Summe Installationskosten 
bezogen auf </t>
    </r>
    <r>
      <rPr>
        <b/>
        <u/>
        <sz val="11"/>
        <color theme="1"/>
        <rFont val="Calibri"/>
        <family val="2"/>
        <scheme val="minor"/>
      </rPr>
      <t>eine</t>
    </r>
    <r>
      <rPr>
        <b/>
        <sz val="11"/>
        <color theme="1"/>
        <rFont val="Calibri"/>
        <family val="2"/>
        <scheme val="minor"/>
      </rPr>
      <t xml:space="preserve"> funktionelle Einheit:</t>
    </r>
  </si>
  <si>
    <r>
      <t xml:space="preserve">Energiekosten - bezogen auf </t>
    </r>
    <r>
      <rPr>
        <b/>
        <u/>
        <sz val="16"/>
        <color theme="1"/>
        <rFont val="Calibri"/>
        <family val="2"/>
        <scheme val="minor"/>
      </rPr>
      <t>eine</t>
    </r>
    <r>
      <rPr>
        <b/>
        <sz val="16"/>
        <color theme="1"/>
        <rFont val="Calibri"/>
        <family val="2"/>
        <scheme val="minor"/>
      </rPr>
      <t xml:space="preserve"> funktionelle Einheit</t>
    </r>
  </si>
  <si>
    <r>
      <t xml:space="preserve">Wartungskosten durch Bietenden - bezogen auf </t>
    </r>
    <r>
      <rPr>
        <b/>
        <u/>
        <sz val="16"/>
        <color theme="1"/>
        <rFont val="Calibri"/>
        <family val="2"/>
        <scheme val="minor"/>
      </rPr>
      <t>eine</t>
    </r>
    <r>
      <rPr>
        <b/>
        <sz val="16"/>
        <color theme="1"/>
        <rFont val="Calibri"/>
        <family val="2"/>
        <scheme val="minor"/>
      </rPr>
      <t xml:space="preserve"> funktionelle Einheit</t>
    </r>
  </si>
  <si>
    <r>
      <t xml:space="preserve">Wartungskosten durch Beschaffungsstelle - bezogen auf </t>
    </r>
    <r>
      <rPr>
        <b/>
        <u/>
        <sz val="16"/>
        <color theme="1"/>
        <rFont val="Calibri"/>
        <family val="2"/>
        <scheme val="minor"/>
      </rPr>
      <t>eine</t>
    </r>
    <r>
      <rPr>
        <b/>
        <sz val="16"/>
        <color theme="1"/>
        <rFont val="Calibri"/>
        <family val="2"/>
        <scheme val="minor"/>
      </rPr>
      <t xml:space="preserve"> funktionelle Einheit</t>
    </r>
  </si>
  <si>
    <t>Das LCC-CO2 Tool des Umweltbundesamtes zur Sichtbarmachung von Umweltwirkungen und den damit verbundenen Lebenszykluskosten und CO2-Kosten von Treibhausgasemissionen in der öffentlichen Beschaffung basiert auf dem ursprünglich von der Österreichischen Bundesbahn (ÖBB) entwickelten "TCOCO2 Berechnungsmodell".</t>
  </si>
  <si>
    <t>Wenn Sie Fragen zum LCC-CO2 Tool des Umweltbundesamtes haben, wenden Sie sich bitte an:</t>
  </si>
  <si>
    <t xml:space="preserve">Der Energieverbrauch wird aus dem Tabellenblatt "THG-Emissionen" übernommen und bei Bedarf in kWh umgerechnet. </t>
  </si>
  <si>
    <r>
      <t xml:space="preserve">Energieverbrauch pro Jahr </t>
    </r>
    <r>
      <rPr>
        <b/>
        <u/>
        <sz val="11"/>
        <color theme="1"/>
        <rFont val="Calibri"/>
        <family val="2"/>
        <scheme val="minor"/>
      </rPr>
      <t>in kWh</t>
    </r>
    <r>
      <rPr>
        <b/>
        <sz val="11"/>
        <color theme="1"/>
        <rFont val="Calibri"/>
        <family val="2"/>
        <scheme val="minor"/>
      </rPr>
      <t xml:space="preserve"> (andere Einheiten werden in kWh umgerechnet):</t>
    </r>
  </si>
  <si>
    <t>Laufende Kosten (Gesamtlos)</t>
  </si>
  <si>
    <t>Summe Einmalkosten (Gesamtlos)</t>
  </si>
  <si>
    <t>Einmalkosten (Gesamtlos)</t>
  </si>
  <si>
    <t>Summe laufende Kosten (Gesamtlos) 
pro Jahr</t>
  </si>
  <si>
    <t>CO2-Kosten der prognostizierten THG-Emissionen (Gesamtlos)</t>
  </si>
  <si>
    <r>
      <t>LCC-CO</t>
    </r>
    <r>
      <rPr>
        <b/>
        <vertAlign val="subscript"/>
        <sz val="11"/>
        <rFont val="Calibri"/>
        <family val="2"/>
        <scheme val="minor"/>
      </rPr>
      <t>2</t>
    </r>
    <r>
      <rPr>
        <b/>
        <sz val="11"/>
        <rFont val="Calibri"/>
        <family val="2"/>
        <scheme val="minor"/>
      </rPr>
      <t xml:space="preserve"> Gesamtkosten pro Jahr</t>
    </r>
  </si>
  <si>
    <t xml:space="preserve">Energiekosten </t>
  </si>
  <si>
    <t>Unterkategorien</t>
  </si>
  <si>
    <t>Transport- und Installationskosten (Gesamtlos)</t>
  </si>
  <si>
    <t>Name des Bietenden</t>
  </si>
  <si>
    <t>Angebots-ID</t>
  </si>
  <si>
    <t>Hersteller der angebotenen Ware</t>
  </si>
  <si>
    <t>Typenbezeichnung der angebotenen Ware</t>
  </si>
  <si>
    <t>Ausschluss-Kriterien durch Bietenden erfüllt (ja/nein)?</t>
  </si>
  <si>
    <t>Laufzeitoption: zusätzlicher Optionszeitraum in Jahren</t>
  </si>
  <si>
    <r>
      <t>CO</t>
    </r>
    <r>
      <rPr>
        <b/>
        <vertAlign val="subscript"/>
        <sz val="14"/>
        <rFont val="Calibri"/>
        <family val="2"/>
        <scheme val="minor"/>
      </rPr>
      <t>2</t>
    </r>
    <r>
      <rPr>
        <b/>
        <sz val="14"/>
        <rFont val="Calibri"/>
        <family val="2"/>
        <scheme val="minor"/>
      </rPr>
      <t>-Kosten der THG-Emissionen</t>
    </r>
  </si>
  <si>
    <t xml:space="preserve">inkl. Inflation + Abzinsung </t>
  </si>
  <si>
    <t xml:space="preserve">Laufende Kosten 
inkl. Inflation + Abzinsung </t>
  </si>
  <si>
    <t>Gesamtlos (= Anzahl funktioneller Einheiten)</t>
  </si>
  <si>
    <r>
      <t>dient als Monetarisierungsfaktor; aktueller Wert: mindestens gemäß BEHG, 
oder hausinterner Vorgabe; UBA-Empfehlung: 195 €/Tonne CO</t>
    </r>
    <r>
      <rPr>
        <i/>
        <vertAlign val="subscript"/>
        <sz val="10"/>
        <rFont val="Calibri"/>
        <family val="2"/>
        <scheme val="minor"/>
      </rPr>
      <t>2</t>
    </r>
  </si>
  <si>
    <r>
      <t>CO</t>
    </r>
    <r>
      <rPr>
        <b/>
        <vertAlign val="subscript"/>
        <sz val="14"/>
        <rFont val="Calibri"/>
        <family val="2"/>
        <scheme val="minor"/>
      </rPr>
      <t>2</t>
    </r>
    <r>
      <rPr>
        <b/>
        <sz val="14"/>
        <rFont val="Calibri"/>
        <family val="2"/>
        <scheme val="minor"/>
      </rPr>
      <t>-Preis</t>
    </r>
  </si>
  <si>
    <r>
      <t xml:space="preserve">Lebenszykluskosten (LCC) mit </t>
    </r>
    <r>
      <rPr>
        <b/>
        <u/>
        <sz val="26"/>
        <rFont val="Calibri"/>
        <family val="2"/>
        <scheme val="minor"/>
      </rPr>
      <t>separater</t>
    </r>
    <r>
      <rPr>
        <b/>
        <sz val="26"/>
        <rFont val="Calibri"/>
        <family val="2"/>
        <scheme val="minor"/>
      </rPr>
      <t xml:space="preserve"> Ausweisung der CO</t>
    </r>
    <r>
      <rPr>
        <b/>
        <vertAlign val="subscript"/>
        <sz val="26"/>
        <rFont val="Calibri"/>
        <family val="2"/>
        <scheme val="minor"/>
      </rPr>
      <t>2</t>
    </r>
    <r>
      <rPr>
        <b/>
        <sz val="26"/>
        <rFont val="Calibri"/>
        <family val="2"/>
        <scheme val="minor"/>
      </rPr>
      <t>-Kosten</t>
    </r>
  </si>
  <si>
    <r>
      <t xml:space="preserve">Lebenszykluskosten (LCC) </t>
    </r>
    <r>
      <rPr>
        <b/>
        <u/>
        <sz val="26"/>
        <rFont val="Calibri"/>
        <family val="2"/>
        <scheme val="minor"/>
      </rPr>
      <t>inklusive</t>
    </r>
    <r>
      <rPr>
        <b/>
        <sz val="26"/>
        <rFont val="Calibri"/>
        <family val="2"/>
        <scheme val="minor"/>
      </rPr>
      <t xml:space="preserve"> CO</t>
    </r>
    <r>
      <rPr>
        <b/>
        <vertAlign val="subscript"/>
        <sz val="26"/>
        <rFont val="Calibri"/>
        <family val="2"/>
        <scheme val="minor"/>
      </rPr>
      <t>2</t>
    </r>
    <r>
      <rPr>
        <b/>
        <sz val="26"/>
        <rFont val="Calibri"/>
        <family val="2"/>
        <scheme val="minor"/>
      </rPr>
      <t>-Kosten</t>
    </r>
  </si>
  <si>
    <t>Angebotspreis und LCC-Gesamtkosten inklusive CO2-Kosten des Angebots</t>
  </si>
  <si>
    <t xml:space="preserve">LCC-Kosten ohne CO2-Kosten, pro Jahr  </t>
  </si>
  <si>
    <t>Gesamtanzahl funktioneller Einheiten, die laut Ausschreibung gefordert sind</t>
  </si>
  <si>
    <r>
      <t xml:space="preserve">Energieverbrauch für die Herstellung </t>
    </r>
    <r>
      <rPr>
        <i/>
        <u/>
        <sz val="11"/>
        <rFont val="Calibri"/>
        <family val="2"/>
        <scheme val="minor"/>
      </rPr>
      <t>einer</t>
    </r>
    <r>
      <rPr>
        <i/>
        <sz val="11"/>
        <rFont val="Calibri"/>
        <family val="2"/>
        <scheme val="minor"/>
      </rPr>
      <t xml:space="preserve"> funktionellen Einheit gemäß Zertifikatsnachweis. Als Zertifikat dient eine (Produkt-)Ökobilanz nach ISO 14040/44 , bei der die potenziellen THG-Emissionen entlang des Lebenszyklus betrachtet werden, eine produktbezogene Klimabilanz nach DIN EN ISO 14067:2019-02, 
oder eine Klimabilanz nach gleichwertigen Standards.</t>
    </r>
  </si>
  <si>
    <t>Die Beschaffungsstelle trägt hier den Zielort ein.</t>
  </si>
  <si>
    <t>Wenn die Produkte aus verschiedenen Orten angeliefert werden, bitte die durchschnittliche Distanz berechnen und die Berechnung dem Angebot beilegen.</t>
  </si>
  <si>
    <t xml:space="preserve">Findet keine Unterteilung auf unterschiedliche Transportmittel statt, tragen Sie bei Typ 1 bitte die Gesamtstrecke ein. </t>
  </si>
  <si>
    <t>"Erdaushub Bagger", wenn das gelieferte Produkt vor Ort errichtet werden soll;</t>
  </si>
  <si>
    <t>dann z.B. "PKW Diesel" auswählen und bei Einsatz die Kilometerangabe eingeben</t>
  </si>
  <si>
    <t>Vorgabe der Beschaffungsstelle. Ggf. muss der rechnerisch ermittelte Wert 
händisch überschrieben werden, um den Ausschreibungsunterlagen zu entsprechen (z.B. wenn im Jahr 'x' eine Pause eingelegt wird)</t>
  </si>
  <si>
    <t>Verbrauch</t>
  </si>
  <si>
    <t>Ist die erforderliche Tätigkeit im Dropdown nicht vorhanden, THG-Emissionen entweder selbst ausrechnen und Rechnung beifügen, bzw. Tätigkeit in Einzeltätigkeit unterteilen und auf Beiblatt dem Angebot beifügen</t>
  </si>
  <si>
    <t>Nutzen Sie spezifischere Wartungstätigkeiten, so ergänzen Sie diese inkl. Emissions-faktoren und Quellenangabe im Tabellenblatt "Emissionsfaktoren_Lebenszyklus" 
in den blauen Zellen am Ende der Liste. Danach können Sie diese hier auswählen.</t>
  </si>
  <si>
    <t>dann bei Einsatz die auszuhebenden Kubikmeter eingeben.</t>
  </si>
  <si>
    <t>Bitte die Distanz mit Google Maps berechnen (Nachvollziehbarkeit).</t>
  </si>
  <si>
    <t xml:space="preserve">Bitte die Distanz mit Google Maps berechnen (Nachvollziehbarkeit). </t>
  </si>
  <si>
    <t>Gesamtgewicht der Liefergüter gemäß Zertifikat inkl. der Verpackung.</t>
  </si>
  <si>
    <t>(Ändert sich das Gewicht auf der Transportstrecke, weil entlang der Lieferkette 
Teile ergänzt werden, so muss das bei den einzelnen Transportmitteln, siehe nächster Abschnitt, berücksichtigt werden).</t>
  </si>
  <si>
    <t>THG-Emissionen aus der Produktion</t>
  </si>
  <si>
    <r>
      <t>kg  CO</t>
    </r>
    <r>
      <rPr>
        <b/>
        <vertAlign val="subscript"/>
        <sz val="11"/>
        <color theme="1"/>
        <rFont val="Calibri"/>
        <family val="2"/>
        <scheme val="minor"/>
      </rPr>
      <t>2e</t>
    </r>
  </si>
  <si>
    <t>Flugzeug Durchschnitt international, Personenkilometer</t>
  </si>
  <si>
    <t>Flugzeug Durchschnitt national, Personnekilometer</t>
  </si>
  <si>
    <t>Flugzeug Durchschnitt national + intern., Personenkilometer</t>
  </si>
  <si>
    <t>Linienbus ÖV (D inkl. E), Personenkilometer</t>
  </si>
  <si>
    <t>Linienbus ÖV (D inkl. E), Fahrzeugkilometer</t>
  </si>
  <si>
    <t>Bahn Personenverkehr in Österreich, Personenkilometer</t>
  </si>
  <si>
    <t>Bahn Personenverkehr in Österreich, Fahrzeugkilometer</t>
  </si>
  <si>
    <t>BEV AT (Ökostrom, Österr. Umweltzeichen 46), Personenkilometer</t>
  </si>
  <si>
    <t>BEV AT (Ökostrom, Österr. Umweltzeichen 46), Fahrzeugkilometer</t>
  </si>
  <si>
    <t>Elektrobus, Ökostrom, Fahrzeugkilometer</t>
  </si>
  <si>
    <t>Elektrobus, Strommix Österreich, Fahrzeugkilometer</t>
  </si>
  <si>
    <t>Flugzeug Durchschnitt international, Fahrzeugkilometer</t>
  </si>
  <si>
    <t>Flugzeug Durchschnitt national, Fahrzeugkilometer</t>
  </si>
  <si>
    <t>Flugzeug Durchschnitt national + intern., Fahrzeugkilometer</t>
  </si>
  <si>
    <t>LKW Durchschnitt (3,5t-40t, Diesel), Fahrzeugkilometer</t>
  </si>
  <si>
    <t>LKW LNF &lt; 3,5t (Diesel), Fahrzeugkilometer</t>
  </si>
  <si>
    <t>LKW SNF &lt; 18t (Diesel), Fahrzeugkilometer</t>
  </si>
  <si>
    <t>LKW SNF &gt; 18t (Diesel), Fahrzeugkilometer</t>
  </si>
  <si>
    <t>Stunden</t>
  </si>
  <si>
    <t>Unimog Mercedes Benz 435, Fahrzeugkilometer</t>
  </si>
  <si>
    <t>Unimog Mercedes Benz 435, Stunden</t>
  </si>
  <si>
    <t>Bahn Güterverkehr EU-Mix</t>
  </si>
  <si>
    <t>LKW Sattelzüge 40t (D)</t>
  </si>
  <si>
    <t>LKW SNF &gt; 18 t (D)</t>
  </si>
  <si>
    <t>LKW SNF &lt; 18 t (D)</t>
  </si>
  <si>
    <t>LKW LNF &lt; 3,5 t (D)</t>
  </si>
  <si>
    <t>LKW Durchschnitt (3,5-40 t, D)</t>
  </si>
  <si>
    <t>Luftfracht Kurzstrecke &lt;1000 km</t>
  </si>
  <si>
    <t>Luftfracht Mittelstrecke 1000-3000 km</t>
  </si>
  <si>
    <t>Luftfracht Langstrecke &gt;3000 km</t>
  </si>
  <si>
    <t>Bahn Güterverkehr in Österreich, Fahrzeugkilometer</t>
  </si>
  <si>
    <t>Bahn Personenverkehr in Deutschland, Personenkilometer</t>
  </si>
  <si>
    <t>Schienenwechsel inkl. Anfahrt, Abfahrt und Neuschienenmaterial</t>
  </si>
  <si>
    <t>THG Emissionswert gemäß Zertifikatsnachweis für eine funktionelle Einheit.</t>
  </si>
  <si>
    <t>Produktion - Stoffe</t>
  </si>
  <si>
    <t>Produktion - Energie</t>
  </si>
  <si>
    <r>
      <t xml:space="preserve">alle Werte </t>
    </r>
    <r>
      <rPr>
        <i/>
        <u/>
        <sz val="9"/>
        <color theme="1"/>
        <rFont val="Calibri"/>
        <family val="2"/>
        <scheme val="minor"/>
      </rPr>
      <t>ohne</t>
    </r>
    <r>
      <rPr>
        <i/>
        <sz val="9"/>
        <color theme="1"/>
        <rFont val="Calibri"/>
        <family val="2"/>
        <scheme val="minor"/>
      </rPr>
      <t xml:space="preserve"> Inflation &amp; Abzinsung</t>
    </r>
  </si>
  <si>
    <t>Betriebszeit/-leistung x pro Jahr</t>
  </si>
  <si>
    <t>Vorgabe der Beschaffungsstelle in "Einheit" pro Jahr (z.B. x Tage oder x Stunden)</t>
  </si>
  <si>
    <t>Installation/Errichtung</t>
  </si>
  <si>
    <t>Antransport zum Zielort</t>
  </si>
  <si>
    <t>Energiebedarf Nutzung</t>
  </si>
  <si>
    <r>
      <t>€/Tonne CO</t>
    </r>
    <r>
      <rPr>
        <b/>
        <vertAlign val="subscript"/>
        <sz val="14"/>
        <rFont val="Calibri"/>
        <family val="2"/>
        <scheme val="minor"/>
      </rPr>
      <t>2</t>
    </r>
  </si>
  <si>
    <t>funktionelle Einheit</t>
  </si>
  <si>
    <r>
      <t xml:space="preserve">Gesamt pro </t>
    </r>
    <r>
      <rPr>
        <b/>
        <u/>
        <sz val="14"/>
        <color theme="1"/>
        <rFont val="Calibri"/>
        <family val="2"/>
        <scheme val="minor"/>
      </rPr>
      <t>eine</t>
    </r>
    <r>
      <rPr>
        <b/>
        <sz val="14"/>
        <color theme="1"/>
        <rFont val="Calibri"/>
        <family val="2"/>
        <scheme val="minor"/>
      </rPr>
      <t xml:space="preserve"> funktionelle Einheit</t>
    </r>
  </si>
  <si>
    <t>Gesamtlos (= Gesamtzahl funktioneller Einheiten)</t>
  </si>
  <si>
    <t>Brennholz_Raummeter</t>
  </si>
  <si>
    <t>Brennholz_Festmeter</t>
  </si>
  <si>
    <t>Verbrauch (kWh/Jahr)</t>
  </si>
  <si>
    <t>Aktuelle Preise für die verschiedenen Energietypen je Einheit:</t>
  </si>
  <si>
    <t>Beimischung 3.2% energetisch</t>
  </si>
  <si>
    <t>Dort sind die Daten durch den Bietenden einzugeben. Sie werden hier mit den aktuellen Preisen, vorgegeben gemäß Beschaffungsstelle, multipliziert.</t>
  </si>
  <si>
    <t>_Energieträger Mobilität</t>
  </si>
  <si>
    <t>_Energieträger Wärme Liegenschaften</t>
  </si>
  <si>
    <t xml:space="preserve">_Strombezug Liegenschaften/Mobilität </t>
  </si>
  <si>
    <t>_Strombezug Liegenschaften/Mobilität 2</t>
  </si>
  <si>
    <t>_Energieträger Wärme Liegenschaften2</t>
  </si>
  <si>
    <t>_Energieträger Mobilität2</t>
  </si>
  <si>
    <t>Bitte spezifizieren: Anmerkung, z.B. Komponenten</t>
  </si>
  <si>
    <r>
      <t>Angebotspreis und LCC-Kosten mit separater Ausweisung/Wertung der CO</t>
    </r>
    <r>
      <rPr>
        <b/>
        <vertAlign val="subscript"/>
        <sz val="16"/>
        <rFont val="Calibri"/>
        <family val="2"/>
        <scheme val="minor"/>
      </rPr>
      <t>2</t>
    </r>
    <r>
      <rPr>
        <b/>
        <sz val="16"/>
        <rFont val="Calibri"/>
        <family val="2"/>
        <scheme val="minor"/>
      </rPr>
      <t>-Kosten des Angebots</t>
    </r>
  </si>
  <si>
    <r>
      <t>CO</t>
    </r>
    <r>
      <rPr>
        <b/>
        <vertAlign val="subscript"/>
        <sz val="14"/>
        <color theme="1"/>
        <rFont val="Calibri"/>
        <family val="2"/>
        <scheme val="minor"/>
      </rPr>
      <t>2</t>
    </r>
    <r>
      <rPr>
        <b/>
        <sz val="14"/>
        <color theme="1"/>
        <rFont val="Calibri"/>
        <family val="2"/>
        <scheme val="minor"/>
      </rPr>
      <t>-Kosten der THG-Emissionen, separat zu bewerten</t>
    </r>
  </si>
  <si>
    <t>Erreichte Punkte Preis
des eingereichten Angebots</t>
  </si>
  <si>
    <t>Erreichte Punkte Qualität 
des eingereichten Angebots</t>
  </si>
  <si>
    <t>Erreichte Gesamtpunkte (Preis+Qualität) 
des eingereichten Angebots</t>
  </si>
  <si>
    <t>Einzelbewertung: siehe Tabellenblatt "Punktevergabe Details"</t>
  </si>
  <si>
    <t xml:space="preserve">LCC-Kosten über Nutzungsdauer
</t>
  </si>
  <si>
    <r>
      <rPr>
        <b/>
        <sz val="11"/>
        <rFont val="Calibri"/>
        <family val="2"/>
        <scheme val="minor"/>
      </rPr>
      <t>CO</t>
    </r>
    <r>
      <rPr>
        <b/>
        <vertAlign val="subscript"/>
        <sz val="11"/>
        <rFont val="Calibri"/>
        <family val="2"/>
        <scheme val="minor"/>
      </rPr>
      <t>2</t>
    </r>
    <r>
      <rPr>
        <b/>
        <sz val="11"/>
        <rFont val="Calibri"/>
        <family val="2"/>
        <scheme val="minor"/>
      </rPr>
      <t>-</t>
    </r>
    <r>
      <rPr>
        <b/>
        <sz val="11"/>
        <color theme="1"/>
        <rFont val="Calibri"/>
        <family val="2"/>
        <scheme val="minor"/>
      </rPr>
      <t>Kosten der THG-Emissionen über Nutzungsdauer</t>
    </r>
  </si>
  <si>
    <r>
      <t>LCC-CO</t>
    </r>
    <r>
      <rPr>
        <b/>
        <vertAlign val="subscript"/>
        <sz val="11"/>
        <rFont val="Calibri"/>
        <family val="2"/>
        <scheme val="minor"/>
      </rPr>
      <t>2</t>
    </r>
    <r>
      <rPr>
        <b/>
        <sz val="11"/>
        <rFont val="Calibri"/>
        <family val="2"/>
        <scheme val="minor"/>
      </rPr>
      <t xml:space="preserve"> Gesamtkosten über Nutzungsdauer</t>
    </r>
  </si>
  <si>
    <r>
      <t xml:space="preserve">Gesamtwertung 
des eingereichten Angebots 
(LCC-Ergebnis mit </t>
    </r>
    <r>
      <rPr>
        <b/>
        <u/>
        <sz val="11"/>
        <color theme="1"/>
        <rFont val="Calibri"/>
        <family val="2"/>
        <scheme val="minor"/>
      </rPr>
      <t>separater Ausweisung/Wertung</t>
    </r>
    <r>
      <rPr>
        <b/>
        <sz val="11"/>
        <color theme="1"/>
        <rFont val="Calibri"/>
        <family val="2"/>
        <scheme val="minor"/>
      </rPr>
      <t xml:space="preserve"> CO</t>
    </r>
    <r>
      <rPr>
        <b/>
        <vertAlign val="subscript"/>
        <sz val="11"/>
        <color theme="1"/>
        <rFont val="Calibri"/>
        <family val="2"/>
        <scheme val="minor"/>
      </rPr>
      <t>2</t>
    </r>
    <r>
      <rPr>
        <b/>
        <sz val="11"/>
        <color theme="1"/>
        <rFont val="Calibri"/>
        <family val="2"/>
        <scheme val="minor"/>
      </rPr>
      <t>-Kosten)</t>
    </r>
  </si>
  <si>
    <r>
      <t xml:space="preserve">Gesamtwertung 
des eingereichten Angebots 
(LCC-Ergebnis </t>
    </r>
    <r>
      <rPr>
        <b/>
        <u/>
        <sz val="11"/>
        <color theme="1"/>
        <rFont val="Calibri"/>
        <family val="2"/>
        <scheme val="minor"/>
      </rPr>
      <t>inklusive</t>
    </r>
    <r>
      <rPr>
        <b/>
        <sz val="11"/>
        <color theme="1"/>
        <rFont val="Calibri"/>
        <family val="2"/>
        <scheme val="minor"/>
      </rPr>
      <t xml:space="preserve"> 
CO</t>
    </r>
    <r>
      <rPr>
        <b/>
        <vertAlign val="subscript"/>
        <sz val="11"/>
        <color theme="1"/>
        <rFont val="Calibri"/>
        <family val="2"/>
        <scheme val="minor"/>
      </rPr>
      <t>2</t>
    </r>
    <r>
      <rPr>
        <b/>
        <sz val="11"/>
        <color theme="1"/>
        <rFont val="Calibri"/>
        <family val="2"/>
        <scheme val="minor"/>
      </rPr>
      <t>-Kosten)</t>
    </r>
  </si>
  <si>
    <r>
      <rPr>
        <i/>
        <u/>
        <sz val="11"/>
        <color theme="1"/>
        <rFont val="Calibri"/>
        <family val="2"/>
        <scheme val="minor"/>
      </rPr>
      <t>Anleitung für Beschaffende</t>
    </r>
    <r>
      <rPr>
        <i/>
        <sz val="11"/>
        <color theme="1"/>
        <rFont val="Calibri"/>
        <family val="2"/>
        <scheme val="minor"/>
      </rPr>
      <t xml:space="preserve">: Entscheiden Sie, ob Sie die Bewertung der Angebote auf Basis integrierter oder separater CO2-Kosten vornehmen wollen;  löschen Sie vor Versand des Tools mit den Ausschreibungsunterlagen entweder Tabellenblatt "Ergebnis LCC inkl. CO2-Kosten" und leeren hier Zellen F31-F41; oder löschen Sie das Tabellenblatt "Ergebnis LCC ohne CO2-Kosten" und leeren hier die Zellen G31-G41. </t>
    </r>
  </si>
  <si>
    <t xml:space="preserve">Fügen Sie in dem Fall bitte Nachweisunterlagen bei, wenn diese vorhanden sind, die den CO2-Wert belegen. </t>
  </si>
  <si>
    <t>Tabellenblatt "Ergebnis inkl. CO2-Kosten" | "Ergebnis ohne CO2-Kosten"</t>
  </si>
  <si>
    <t>- Ergebnis LCC inklusive CO2-Kosten; oder</t>
  </si>
  <si>
    <t>- Ergebnis LCC ohne CO2-Kosten</t>
  </si>
  <si>
    <t>- Punktevergabe Details</t>
  </si>
  <si>
    <t>- Emissionsfaktoren Stoffe</t>
  </si>
  <si>
    <t>- Emissionsfaktoren Prozesse</t>
  </si>
  <si>
    <t>- Emissionsfaktoren Lebenszyklus</t>
  </si>
  <si>
    <r>
      <t>LCC-CO</t>
    </r>
    <r>
      <rPr>
        <b/>
        <vertAlign val="subscript"/>
        <sz val="26"/>
        <color theme="1"/>
        <rFont val="Calibri"/>
        <family val="2"/>
        <scheme val="minor"/>
      </rPr>
      <t xml:space="preserve">2 </t>
    </r>
    <r>
      <rPr>
        <b/>
        <sz val="26"/>
        <color theme="1"/>
        <rFont val="Calibri"/>
        <family val="2"/>
        <scheme val="minor"/>
      </rPr>
      <t>Tool - ANLEITUNG BESCHAFFENDE</t>
    </r>
  </si>
  <si>
    <t xml:space="preserve">Das LCC-CO2-Tool kann für folgende Zwecke eingesetzt werden:
►    Interner Einsatz durch Bedarfsträger oder Beschaffungsstelle im Rahmen der Bedarfsermittlung zur Abschätzung der Wirtschaftlichkeit verschiedener Varianten und Konkretisierung des Auftragsgegenstands. 
►    Externer Einsatz im Beschaffungs- / Vergabeprozess (Aushändigung an und Ausfüllen durch Bietende) zur Ermittlung der Treibhausgasemissionen, CO2-Kosten und Wirtschaftlichkeit der eingereichten Angebote. </t>
  </si>
  <si>
    <r>
      <rPr>
        <b/>
        <sz val="11"/>
        <rFont val="Calibri"/>
        <family val="2"/>
        <scheme val="minor"/>
      </rPr>
      <t>Tabellenblätter "THG-Emissionen mit Zertifikat" | "THG-Emissionen ohne Zertifikat"</t>
    </r>
    <r>
      <rPr>
        <sz val="11"/>
        <rFont val="Calibri"/>
        <family val="2"/>
        <scheme val="minor"/>
      </rPr>
      <t xml:space="preserve">
In </t>
    </r>
    <r>
      <rPr>
        <u/>
        <sz val="11"/>
        <rFont val="Calibri"/>
        <family val="2"/>
        <scheme val="minor"/>
      </rPr>
      <t>beiden</t>
    </r>
    <r>
      <rPr>
        <sz val="11"/>
        <rFont val="Calibri"/>
        <family val="2"/>
        <scheme val="minor"/>
      </rPr>
      <t xml:space="preserve">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</si>
  <si>
    <t>TABELLENBLÄTTER: Erläuterung der Funktionalitäten im Detail</t>
  </si>
  <si>
    <t xml:space="preserve">Diese beiden Tabellenblätter dienen zur Information der Bietenden über das Punktevergabeschema der vorliegenden Ausschreibung (Ausschlusskriterien; Gewichtung Preis vs. Qualität; Gesamtpunktzahl und erreichbare Punktzahl für technische und ökologische Zuschlagskriterien). 
Nach Rückerhalt der von den Bietenden ausgefüllten Tools mit den Angebotsunterlagen können Sie hier die Bewertung der Angebote vornehmen (Erfüllungsgrad der einzelnen Zuschlagskriterien, erreichte Preis- und Qualitätspunkte). Im Tabellenblatt "Punktevergabe Übersicht" werden Ihnen zudem die errechneten Werte für den Angebotspreis und die Lebenszykluskosten (inklusive bzw. mit separater Ausweisung der CO2-Kosten) der jeweiligen Angebote aufgezeigt, die Sie in die Bewertung der Wirtschaftlichkeit einbeziehen. 
Eine detaillierte Aufschlüsselung der Lebenszykluskosten, ggf. auch mit Investitionsrechnung zukünftig entstehender Kostenbestandteile, finden Sie im Ergebnis-Tabellenblatt, siehe unten.  </t>
  </si>
  <si>
    <t>Tabellenblätter "Einmalkosten" | "Transport- und Installationskosten" | "Laufende Kosten"</t>
  </si>
  <si>
    <t>Tabellenblätter "Ergebnis LCC inkl. CO2-Kosten" | "Ergebnis LCC ohne CO2-Kosten"</t>
  </si>
  <si>
    <t>Tabellenblätter "THG-Emissionen mit Zertifikat" |"THG-Emissionen ohne Zertifikat"</t>
  </si>
  <si>
    <r>
      <rPr>
        <b/>
        <sz val="11"/>
        <rFont val="Calibri"/>
        <family val="2"/>
        <scheme val="minor"/>
      </rPr>
      <t>Tabellenblatt "Investitionsrechnung"</t>
    </r>
    <r>
      <rPr>
        <sz val="11"/>
        <rFont val="Calibri"/>
        <family val="2"/>
        <scheme val="minor"/>
      </rPr>
      <t xml:space="preserve">
Hier tragen Sie - sofern für die zu beschaffende Ware relevant - die anzusetzende allgemeine Inflations- und Diskontrate ein. Damit können Sie, falls während der Nutzungsphase weitere Kosten in der Zukunft entstehen, diese für die Berechnung der Lebenszykluskosten auf- oder abzinsen. </t>
    </r>
  </si>
  <si>
    <t>Arbeitshilfe des Umweltbundesamtes zur Berechnung der Wirtschaftlichkeit in der Beschaffung (Prognose der Treibhausgasemissionen und der damit verbundenen CO2-Kosten, Ermittlung der Lebenszykluskosten inkl. CO2-Kosten)</t>
  </si>
  <si>
    <t xml:space="preserve">WAS IST ZU TUN 
=&gt; Einträge / Vorbereitung durch Beschaffungsstelle  </t>
  </si>
  <si>
    <r>
      <rPr>
        <b/>
        <sz val="11"/>
        <rFont val="Calibri"/>
        <family val="2"/>
        <scheme val="minor"/>
      </rPr>
      <t>Vor Versand mit Ausschreibungsunterlagen: Tabellenblätter / Einträge löschen!</t>
    </r>
    <r>
      <rPr>
        <sz val="11"/>
        <rFont val="Calibri"/>
        <family val="2"/>
        <scheme val="minor"/>
      </rPr>
      <t xml:space="preserve">
Bevor Sie die Exceldatei mit den Vergabeunterlagen versenden, löschen Sie das Tabellenblatt "Anleitung für Beschaffende" und wahlweise das Tabellenblatt "Ergebnis LCC inkl. CO2-Kosten" oder das Tabellenblatt "Ergebnis LCC ohne CO2-Kosten" sowie die nicht-zutreffende Ergebnisbewertung auf dem Tabellenblatt "Punktevergabe Übersicht" (Erläuterung siehe oben)
</t>
    </r>
  </si>
  <si>
    <r>
      <rPr>
        <b/>
        <sz val="11"/>
        <rFont val="Calibri"/>
        <family val="2"/>
        <scheme val="minor"/>
      </rPr>
      <t>Zellen in der Farbe der Tabellenblätter: keine Eingaben/Änderungen vornehmen</t>
    </r>
    <r>
      <rPr>
        <sz val="11"/>
        <rFont val="Calibri"/>
        <family val="2"/>
        <scheme val="minor"/>
      </rPr>
      <t xml:space="preserve">! Werte werden durch hinterlegte Formeln oder Verknüpfungen automatisch berechnet oder ausgegeben
</t>
    </r>
  </si>
  <si>
    <r>
      <rPr>
        <i/>
        <u/>
        <sz val="11"/>
        <rFont val="Calibri"/>
        <family val="2"/>
        <scheme val="minor"/>
      </rPr>
      <t>Material/Stoff</t>
    </r>
    <r>
      <rPr>
        <i/>
        <sz val="11"/>
        <rFont val="Calibri"/>
        <family val="2"/>
        <scheme val="minor"/>
      </rPr>
      <t xml:space="preserve">: bitte aus der Dropdown-Liste passende Materialien auswählen. Tipp: im Tabellenblatt "Emissionsfaktoren_Stoffe" sehen Sie übersichtlicher, welche Materialien hinterlegt sind (IT = Informations- und Kommunikationstechnologien; LM = Lebensmittel). </t>
    </r>
  </si>
  <si>
    <t xml:space="preserve">Nutzen Sie spezifischere Materialien, so ergänzen Sie diese inkl. Emissionsfaktoren </t>
  </si>
  <si>
    <t xml:space="preserve">und Quellenangabe im Tabellenblatt "Emissionsfaktoren_Stoffe" in den blauen Zellen </t>
  </si>
  <si>
    <t>am Ende der Liste. Danach können Sie diese ebenfalls hier auswählen.</t>
  </si>
  <si>
    <t xml:space="preserve">Hinweis: Der Wert der gesamten CO2-Belastung liegt meist ca. 10-20 % über dieser Summe. </t>
  </si>
  <si>
    <t xml:space="preserve">Um Angebote mit Treibhausgasangaben mit und ohne Zertifikat miteinander vergleichen zu "dürfen", 
bedarf es ohne Zertifikat einer gesonderten Eigenerklärung. </t>
  </si>
  <si>
    <r>
      <rPr>
        <u/>
        <sz val="11"/>
        <color theme="1"/>
        <rFont val="Calibri"/>
        <family val="2"/>
        <scheme val="minor"/>
      </rPr>
      <t>Kein Zertifikat vorhanden</t>
    </r>
    <r>
      <rPr>
        <sz val="11"/>
        <color theme="1"/>
        <rFont val="Calibri"/>
        <family val="2"/>
        <scheme val="minor"/>
      </rPr>
      <t xml:space="preserve">: In diesem Fall muss der Bietende durch eine </t>
    </r>
    <r>
      <rPr>
        <b/>
        <sz val="11"/>
        <color theme="1"/>
        <rFont val="Calibri"/>
        <family val="2"/>
        <scheme val="minor"/>
      </rPr>
      <t>Eigenerklärung den CO2 Wert für die Produktionsphase</t>
    </r>
    <r>
      <rPr>
        <sz val="11"/>
        <color theme="1"/>
        <rFont val="Calibri"/>
        <family val="2"/>
        <scheme val="minor"/>
      </rPr>
      <t xml:space="preserve"> angeben. Die Produktion umfasst dabei sämtliche Prozesse im Rahmen der Herstellung des Produktes, d.h. die Rohstoffextraktion, sämtliche Transporte, Herstellprozesse und die Montage am Produktionsstandort (sofern vorhanden). Dieser Wert wird dann für die Berechnung der produktionsbedingten Treibhausgasemissionen herangezogen. 
Zur Plausibilisierung muss der Bietende die Eingabefelder im Tabellenblatt "THG-Emissionen ohne Zertifikat" in der Phase 1: Produktion ausfüllen, d.h. die produktionsbezogenen THG-Emissionen der mengenmäßig relevantesten Materialien sowie die Treibhausgasemissionen aus dem energiebedingten Produktionsaufwand. 
Die THG-Emissionen der Produktherstellung werden durch diese beiden oberen Abschnitte plausibilisiert: 
THG-Emissionen (Material) + THG-Emissionen (Energie). 
Tipp: Sie finden beide Summanden im Tabellenblatt "Produktion" in Spalte L. Der Wert der gesamten CO2-Belastung der Produktion liegt meist ca. 10-20 % über dieser Summe der Einzelwerte. </t>
    </r>
  </si>
  <si>
    <r>
      <rPr>
        <b/>
        <sz val="11"/>
        <rFont val="Calibri"/>
        <family val="2"/>
        <scheme val="minor"/>
      </rPr>
      <t>Tabellenblätter "Emissionsfaktoren_Stoffe" | "Emissionsfaktoren_Prozesse" | "Emissionsfaktoren_Lebenszyklus"</t>
    </r>
    <r>
      <rPr>
        <sz val="11"/>
        <rFont val="Calibri"/>
        <family val="2"/>
        <scheme val="minor"/>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</si>
  <si>
    <t xml:space="preserve">Dieses Tabellenblatt dient dazu, diejenigen Kosten, die während der Nutzungsphase in der Zukunft entstehen werden, für die Berechnung der Lebenszykluskosten auf- oder abzuzinsen, d.h. potenzielle Preissteigerungs- bzw. Inflationsraten mit zu berücksichtigen. Die so genannte Barwertmethode wird auf die laufenden Kosten für Energiebedarfe sowie auf die Wartungskosten der Bietenden bzw. die Wartungskosten, die der Beschaffungsstelle entstehen, angewandt. In den Tabellenblättern "Ergebnis LCC inkl. / ohne CO2-Kosten" finden Sie den Gesamt-Angebotspreis und die Gesamt-Lebenszykluskosten inklusive bzw. mit separat ausgewiesenen CO2-Kosten jeweils auch als Werte inklusive Inflation + Abzinsung. Bei der Bewertung der Wirtschaftlichkeit von Angeboten ist die Anwendung der Barwertmethode insbesondere dann sinnvoll, wenn es deutliche Unterschiede bei den Energieverbräuchen und Wartungstätigkeiten der zu vergleichenden Angebote gibt.  
</t>
  </si>
  <si>
    <r>
      <rPr>
        <u/>
        <sz val="11"/>
        <color theme="1"/>
        <rFont val="Calibri"/>
        <family val="2"/>
        <scheme val="minor"/>
      </rPr>
      <t>THG-Emissionen durch angebotene Wartungstätigkeiten</t>
    </r>
    <r>
      <rPr>
        <sz val="11"/>
        <color theme="1"/>
        <rFont val="Calibri"/>
        <family val="2"/>
        <scheme val="minor"/>
      </rPr>
      <t xml:space="preserve">: Fallen solche während der Nutzungsdauer der beschafften Ware an, müssen die Bietenden die THG-Emissionen hinzu addieren, die z.B. durch den Austausch von Komponenten entstehen. Zum Beispiel ist beim Batterietausch eines E-Omnibusses nach x Jahren nicht nur der Antransport der Batterie, sondern auch der gesamte CO2-Emissionsbetrag der Produktion der neuen Batterie zu berücksichtigen. Zu jeder Wartungstätigkeit, die sich noch nicht im Tabellenblatt "Emissionsfaktoren_Lebenszyklus" und somit in der Dropdown-Auswahlliste im Blatt "THG-Emissionen" befindet, müssen die Bietenden eine Erklärung liefern, aus der alle Überlegungen und Zahlenwerte sowie die Berechnungen des Bietenden hervorgehen. Die Daten sind durch entsprechende Nachweisunterlagen zu belegen. Bei Fragen hierzu sollen sich die Bietenden rechtzeitig an die Ansprechperson gemäß Ausschreibungsunterlagen wenden, damit ihnen zeitgerecht geholfen werden kann.
</t>
    </r>
  </si>
  <si>
    <t>Tabellenblätter "Produktion" | "Transport + Installation" | "Nutzung"</t>
  </si>
  <si>
    <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t>
    </r>
    <r>
      <rPr>
        <vertAlign val="subscript"/>
        <sz val="11"/>
        <rFont val="Calibri"/>
        <family val="2"/>
        <scheme val="minor"/>
      </rPr>
      <t>2</t>
    </r>
    <r>
      <rPr>
        <sz val="11"/>
        <rFont val="Calibri"/>
        <family val="2"/>
        <scheme val="minor"/>
      </rPr>
      <t xml:space="preserve">-Emissionskosten haben, bzw. wie sich diese berechnen. 
</t>
    </r>
  </si>
  <si>
    <t xml:space="preserve">In den weißen Tabellenblättern befinden sich die zugrunde liegenden Emissionsfaktoren der verschiedenen Materialien und Prozesse für das LCC-CO2-Berechnungsmodell. 
Eingaben sind hier keine notwendig. Als Beschaffungsstelle können Sie jedoch sukzessive spezifischere Daten - sofern vorhanden - für Ihre zu beschaffenden Waren zu den bereits vorhandenen Daten ergänzen, bevor Sie das Tool für Ihre Ausschreibung verwenden. Bietende können in den hellblauen Feldern unterhalb der jeweiligen Tabellenabschnitte spezifischere Daten ergänzen (mit Nachweis), sonstige Veränderungen sind nicht erlaubt. </t>
  </si>
  <si>
    <t xml:space="preserve">In diesem Tabellenblatt kann das detaillierte Ergebnis der Lebenszykluskostenberechnungen für das Gesamtlos, d.h. die Gesamtanzahl/-menge an zu beschaffenden Waren abgelesen und für die Bewertung der eingereichten Angebote genutzt werden. Die beiden Tabellenblätter zeigen auch die Berechnung des Angebotspreises und der Lebenszykluskosten unter Berücksichtigung von Inflation und Abzinsung (lila Rahmen und Felder). 
Die einzelnen Kostenbestandteile der Lebenszykluskosten (Einmalkosten, Transport- und Installationskosten, laufende Kosten) befinden sich in den blauen Rahmen; die prognostizierten Treibhausgasemissionen sowie die daraus resultierenden CO2-Kosten (entweder als Kostenbestandteil integriert in den LCC-Kosten oder separat ausgewiesen und zu bewerten) gemäß dem für die Ausschreibung angesetzten CO2-Preis befinden sich unten rechts im grünen Rahmen. 
</t>
  </si>
  <si>
    <t>Transport + Installation umfasst  die Anlieferung bzw. den Transport zum Bestimmungsort 
sowie die dortige Installation/Errichtung, sofern gemäß Leistungsbeschreibung erforderlich</t>
  </si>
  <si>
    <r>
      <t xml:space="preserve">Diese beiden Tabellenblätter dienen dazu, die mit der zu beschaffenden Ware verursachten Treibhausgas-emissionen über den Lebenszyklus zu prognostizieren, um die damit verbundenen CO2-Kosten zu ermitteln. 
Bietende prüfen, ob für die Treibhausgasemissionen ihrer anzubietenden Ware ein Zertifikat vorhanden ist oder nicht und wählen das entsprechende Tabellenblatt für die weiteren Dateneingaben. </t>
    </r>
    <r>
      <rPr>
        <sz val="11"/>
        <color rgb="FFFF0000"/>
        <rFont val="Calibri"/>
        <family val="2"/>
        <scheme val="minor"/>
      </rPr>
      <t xml:space="preserve"> 
</t>
    </r>
    <r>
      <rPr>
        <u/>
        <sz val="11"/>
        <rFont val="Calibri"/>
        <family val="2"/>
        <scheme val="minor"/>
      </rPr>
      <t>Zertifikat vorhanden</t>
    </r>
    <r>
      <rPr>
        <sz val="11"/>
        <rFont val="Calibri"/>
        <family val="2"/>
        <scheme val="minor"/>
      </rPr>
      <t xml:space="preserve">: Als </t>
    </r>
    <r>
      <rPr>
        <b/>
        <sz val="11"/>
        <rFont val="Calibri"/>
        <family val="2"/>
        <scheme val="minor"/>
      </rPr>
      <t>Zertifikat</t>
    </r>
    <r>
      <rPr>
        <sz val="11"/>
        <rFont val="Calibri"/>
        <family val="2"/>
        <scheme val="minor"/>
      </rPr>
      <t xml:space="preserve"> dient eine (Produkt-)Ökobilanz nach ISO 14040/44 , bei der die potenziellen THG-Emissionen entlang des Lebenszyklus betrachtet werden, eine produktbezogene Klimabilanz nach DIN EN ISO 14067:2019-02, oder eine Klimabilanz nach gleichwertigen Standards. Wenn in den Ausschreibungsunterlagen vorgegeben, müssen die Bietenden priorisiert das Tabellenblatt "THG-Emissionen mit Zertifikat" ausfüllen. Das Tabellenblatt "THG-Emissionen ohne Zertifikat" ist dann nicht zu befüllen.</t>
    </r>
    <r>
      <rPr>
        <sz val="11"/>
        <color theme="1"/>
        <rFont val="Calibri"/>
        <family val="2"/>
        <scheme val="minor"/>
      </rPr>
      <t xml:space="preserve"> Es wird den Bietenden empfohlen, sich ein Zertifikat über die Treibhausgasemissionen für jedes ihrer verfügbaren Produkte erstellen zu lassen. Mittelfristig sollte dies in allen Ausschreibungen gefordert werden. Will der Bietende ein Zertifikat für die Befüllung der Eingabedaten zur Ermittlung der Treibhausgasemissionen verwenden, so ist dieses (oder sind diese) als Anlage(n) zum Angebot beizufügen. Alternative Zertifikate sollen bei Gleichwertigkeit akzeptiert werden, auch diese sind vom Bietenden als Nachweis beizufügen.</t>
    </r>
  </si>
  <si>
    <r>
      <rPr>
        <u/>
        <sz val="11"/>
        <color theme="1"/>
        <rFont val="Calibri"/>
        <family val="2"/>
        <scheme val="minor"/>
      </rPr>
      <t>Auswahl an THG-Emissionswerten von Stoffen, Prozessen und Wartungstätigkeiten</t>
    </r>
    <r>
      <rPr>
        <sz val="11"/>
        <color theme="1"/>
        <rFont val="Calibri"/>
        <family val="2"/>
        <scheme val="minor"/>
      </rPr>
      <t>: Das LCC-CO2-Tool enthält eine Auswahl an THG-Emissionswerten, die die Bietenden zur Prognose der THG-Emissionen ihrer angebotenen Ware über die Dropdown-Auswahllisten verwenden können. Verfügen Bietende über spezifische Emissionswerte für ihr Angebot (Einträge durch Bietende in den hellblauen Zeilen in den Tabellenblättern "Emissionsfaktoren" möglich), so müssen sie dies durch Nachweisunterlagen, z.B. ein unabhängiges Gutachten/Zertifkat bestätigen, die den CO2-Wert belegen. In diesem Fall können Sie Werte des Bietenden für die Berechnung heranziehen. 
Sollte der Bietende Werte abändern, ohne eine solche unabhängige Bestätigung beizulegen, so ziehen Sie als Beschaffungsstelle wieder die im LCC-CO2-Tool aufgeführten öffentlichen Quellen für die Berechnungen heran. 
Auf der Internetseite des Umweltbundesamtes https://www.probas.umweltbundesamt.de/datenbank/#/ finden Sie eventuell fehlende Werte für Ihre zu beschaffenden Waren.</t>
    </r>
  </si>
  <si>
    <t>Installations- und Errichtungsprozesse</t>
  </si>
  <si>
    <t>nicht notwendig</t>
  </si>
  <si>
    <t>dann bitte bei Tätigkeit 1 "nicht notwendig" auswählen.</t>
  </si>
  <si>
    <t>Installations- und Errichtungsprozesse.</t>
  </si>
  <si>
    <t>Wird in Phase 2 (Installation und Errichtung)</t>
  </si>
  <si>
    <t>im Blatt "THG-Emissionen" verwendet.</t>
  </si>
  <si>
    <t>Wird in Phase 2 (Transportmittel zum Zielort)</t>
  </si>
  <si>
    <t>(Nutzung) im Blatt "THG-Emissionen" verwendet</t>
  </si>
  <si>
    <r>
      <t>Das Umweltbundesamt hat im RefoPlan-Vorhaben "Erarbeitung methodischer Grundlagen und Arbeitshilfen 
für Klimaschutz- und Kreislaufwirtschaftsaspekte in der öffentlichen Beschaffungspraxis" (FKZ 3721373070) 
die Weiterentwicklung seiner bisherigen Arbeitshilfen zu einem integrierten Excel-Tool „LCC-CO2“ für die Berechnung der Lebenszykluskosten, Abschätzung der Treibhausgasemissionen und Anwendung des CO</t>
    </r>
    <r>
      <rPr>
        <vertAlign val="subscript"/>
        <sz val="11"/>
        <color theme="1"/>
        <rFont val="Calibri"/>
        <family val="2"/>
        <scheme val="minor"/>
      </rPr>
      <t>2</t>
    </r>
    <r>
      <rPr>
        <sz val="11"/>
        <color theme="1"/>
        <rFont val="Calibri"/>
        <family val="2"/>
        <scheme val="minor"/>
      </rPr>
      <t xml:space="preserve">-Preises beauftragt. 
Vorgenommene Anpassungen des ursprünglichen Tools der ÖBB durch das beauftragte Öko-Institut: 
UBA-Layout; detaillierte Anleitungen für Beschaffende und Bietende; Aktualisierung und Ergänzung von hinterlegten Emissionsfaktoren; Bezug der hinterlegten Zahlenwerte zu Deutschland anstelle Österreich; Integration der Barwert-Methode (Diskontierung, d.h. Auf- bzw. Abzinsen von Zahlungsströmen, die in der Vergangenheit bzw. Zukunft liegen); Barrierefreiheit. </t>
    </r>
  </si>
  <si>
    <r>
      <t xml:space="preserve">Eine ausführliche Anleitung zum LCC-CO2 Tool finden Sie im </t>
    </r>
    <r>
      <rPr>
        <b/>
        <sz val="11"/>
        <color theme="1"/>
        <rFont val="Calibri"/>
        <family val="2"/>
        <scheme val="minor"/>
      </rPr>
      <t>Schulungsskript</t>
    </r>
    <r>
      <rPr>
        <sz val="11"/>
        <color theme="1"/>
        <rFont val="Calibri"/>
        <family val="2"/>
        <scheme val="minor"/>
      </rPr>
      <t xml:space="preserve"> und </t>
    </r>
    <r>
      <rPr>
        <b/>
        <sz val="11"/>
        <color theme="1"/>
        <rFont val="Calibri"/>
        <family val="2"/>
        <scheme val="minor"/>
      </rPr>
      <t>Schulungsvideo</t>
    </r>
    <r>
      <rPr>
        <sz val="11"/>
        <color theme="1"/>
        <rFont val="Calibri"/>
        <family val="2"/>
        <scheme val="minor"/>
      </rPr>
      <t xml:space="preserve"> unter 
### www.umweltbundesamt.de/… ###</t>
    </r>
    <r>
      <rPr>
        <sz val="11"/>
        <color theme="1"/>
        <rFont val="Calibri"/>
        <family val="2"/>
        <scheme val="minor"/>
      </rPr>
      <t xml:space="preserve"> </t>
    </r>
    <r>
      <rPr>
        <sz val="11"/>
        <rFont val="Calibri"/>
        <family val="2"/>
        <scheme val="minor"/>
      </rPr>
      <t>(Veröffentlichung Anfang-Mitte 2025 geplant).</t>
    </r>
  </si>
  <si>
    <t>### Email-Adresse ### (Adresse wird in der finalen Version ergänzt)</t>
  </si>
  <si>
    <r>
      <t>LCC-CO</t>
    </r>
    <r>
      <rPr>
        <b/>
        <vertAlign val="subscript"/>
        <sz val="26"/>
        <color theme="1"/>
        <rFont val="Calibri"/>
        <family val="2"/>
        <scheme val="minor"/>
      </rPr>
      <t xml:space="preserve">2 </t>
    </r>
    <r>
      <rPr>
        <b/>
        <sz val="26"/>
        <color theme="1"/>
        <rFont val="Calibri"/>
        <family val="2"/>
        <scheme val="minor"/>
      </rPr>
      <t>Tool - ANLEITUNG FÜR BIETENDE</t>
    </r>
  </si>
  <si>
    <t xml:space="preserve">Arbeitshilfe des Umweltbundesamtes für Beschaffungsstellen zur Prognose der Treibhausgasemissionen und Ermittlung der Lebenszykluskosten inkl. der CO2-Kosten für die eingereichten Angebote </t>
  </si>
  <si>
    <t xml:space="preserve">Diese drei Tabellenblätter dienen zur Erfassung der mit dem Angebot verbundenen Lebenszykluskosten-Bestandteile. Neben dem/den Anschaffungspreis(en) tragen die Bietenden, sofern relevant, auch Kosten ein, die durch die Anlieferung der Ware und/oder die Installation bzw. Errichtung vor Ort entstehen. 
Laufende Kosten können Kosten für Energie-, Treibstoff- oder Wärmebedarf während der Nutzungsdauer der zu beschaffenden Ware sein. Schließlich können die Bietenden Kosten für Wartungstätigkeiten während der Nutzungsdauer ansetzen. Hierbei wird unterschieden zwischen Wartungstätigkeiten, die gemäß Forderung in den Ausschreibungsunterlagen durch den Bietenden auszuführen sind, und/oder ggf. auch erforderliche Wartungstätigkeiten, die durch die Beschaffungsstelle selbst durchzuführen sind und deren Kosten in den Lebenszykluskosten berücksichtigt werden sollen. 
Stundenkostensätze, die nicht in den Ausschreibungsunterlagen vorgegeben sind, sind freizulassen. Hierzu wird erst in den folgenden Verhandlungsrunden zwischen Bietendem und Beschaffungsstelle die Klärung herbeigeführt. Wenn Sie als Bietender nichts eintragen, obwohl die Angaben in den Ausschreibungsunterlagen vorhanden sind, wird die Beschaffungsstelle diese Werte zur Auswertung eintragen.
</t>
  </si>
  <si>
    <t xml:space="preserve">In den weißen Tabellenblättern befinden sich die zugrunde liegenden Emissionsfaktoren der verschiedenen Materialien und Prozesse für das LCC-CO2-Berechnungsmodell. 
Eingaben sind hier keine notwendig. Beschaffungsstellen können sukzessive spezifischere Daten - sofern vorhanden - für die zu beschaffenden Waren zu den bereits vorhandenen Daten ergänzen, bevor sie das Tool für ihre Ausschreibungen verwenden. Bietende können in den hellblauen Feldern unterhalb der jeweiligen Tabellenabschnitte spezifischere Daten ergänzen (mit Nachweis), sonstige Veränderungen sind nicht erlaubt. </t>
  </si>
  <si>
    <t xml:space="preserve">WAS IST ZU TUN =&gt; Einträge durch die Bietenden  </t>
  </si>
  <si>
    <t>Firmenbezeichnung des Bietenden:</t>
  </si>
  <si>
    <r>
      <rPr>
        <u/>
        <sz val="11"/>
        <color theme="1"/>
        <rFont val="Calibri"/>
        <family val="2"/>
        <scheme val="minor"/>
      </rPr>
      <t>Auswahl an THG-Emissionswerten von Stoffen, Prozessen und Wartungstätigkeiten</t>
    </r>
    <r>
      <rPr>
        <sz val="11"/>
        <color theme="1"/>
        <rFont val="Calibri"/>
        <family val="2"/>
        <scheme val="minor"/>
      </rPr>
      <t xml:space="preserve">: Das LCC-CO2-Tool enthält eine Auswahl an THG-Emissionswerten, die die Bietenden zur Prognose der THG-Emissionen ihrer angebotenen Ware über die Dropdown-Auswahllisten verwenden können. Verfügen Bietende über spezifische Emissionswerte für ihr Angebot (Einträge durch Bietende in den hellblauen Zeilen in den Tabellenblättern "Emissionsfaktoren" möglich), so müssen sie dies durch Nachweisunterlagen, z.B. ein unabhängiges Gutachten/Zertifkat bestätigen, die den CO2-Wert belegen. In diesem Fall kann die Beschaffungsstelle die Werte des Bietenden für die Berechnung heranziehen. Auf der Internetseite des Umweltbundesamtes https://www.probas.umweltbundesamt.de/datenbank/#/ finden Sie eventuell fehlende Werte für Ihre anzubietenden Waren.
Sollte der Bietende Werte abändern, ohne eine solche unabhängige Bestätigung beizulegen, so zieht die Beschaffungsstelle wieder die im LCC-CO2-Tool aufgeführten öffentlichen Quellen für die Berechnungen heran. </t>
    </r>
  </si>
  <si>
    <r>
      <rPr>
        <u/>
        <sz val="11"/>
        <color theme="1"/>
        <rFont val="Calibri"/>
        <family val="2"/>
        <scheme val="minor"/>
      </rPr>
      <t>THG-Emissionen durch angebotene Wartungstätigkeiten</t>
    </r>
    <r>
      <rPr>
        <sz val="11"/>
        <color theme="1"/>
        <rFont val="Calibri"/>
        <family val="2"/>
        <scheme val="minor"/>
      </rPr>
      <t>: Fallen solche während der Nutzungsdauer der anzubietenden Ware an, müssen die Bietenden die THG-Emissionen hinzu addieren, die z.B. durch den Austausch von Komponenten entstehen. Zum Beispiel ist beim Batterietausch eines E-Omnibusses nach x Jahren nicht nur der Antransport der Batterie, sondern auch der gesamte CO2-Emissionsbetrag der Produktion der neuen Batterie zu berücksichtigen. Zu jeder Wartungstätigkeit, die sich noch nicht im Tabellenblatt "Emissionsfaktoren_Lebenszyklus" und somit in der Dropdown-Auswahlliste im Blatt "THG-Emissionen" befindet, müssen die Bietenden eine Erklärung liefern, aus der alle Überlegungen und Zahlenwerte sowie die Berechnungen des Bietenden hervorgehen. Die Daten sind durch entsprechende Nachweisunterlagen zu belegen. Bei Fragen hierzu sollen sich die Bietenden rechtzeitig an die Ansprechperson gemäß Ausschreibungsunterlagen wenden, damit ihnen zeitgerecht geholfen werden kann.</t>
    </r>
  </si>
  <si>
    <r>
      <rPr>
        <b/>
        <sz val="11"/>
        <rFont val="Calibri"/>
        <family val="2"/>
        <scheme val="minor"/>
      </rPr>
      <t>Tabellenblatt "Transport+Installationskosten"</t>
    </r>
    <r>
      <rPr>
        <sz val="11"/>
        <rFont val="Calibri"/>
        <family val="2"/>
        <scheme val="minor"/>
      </rPr>
      <t xml:space="preserve">
In diesem Blatt sind nur Einträge durch die Bietenden vorgesehen. </t>
    </r>
  </si>
  <si>
    <r>
      <rPr>
        <b/>
        <sz val="11"/>
        <rFont val="Calibri"/>
        <family val="2"/>
        <scheme val="minor"/>
      </rPr>
      <t>Tabellenblatt "Investitionsrechnung"</t>
    </r>
    <r>
      <rPr>
        <sz val="11"/>
        <rFont val="Calibri"/>
        <family val="2"/>
        <scheme val="minor"/>
      </rPr>
      <t xml:space="preserve">
In diesem Blatt sind nur Einträge durch die Beschaffungsstelle vorgesehen. 
</t>
    </r>
  </si>
  <si>
    <r>
      <rPr>
        <b/>
        <sz val="11"/>
        <rFont val="Calibri"/>
        <family val="2"/>
        <scheme val="minor"/>
      </rPr>
      <t>Tabellenblatt "Einmalkosten"</t>
    </r>
    <r>
      <rPr>
        <sz val="11"/>
        <rFont val="Calibri"/>
        <family val="2"/>
        <scheme val="minor"/>
      </rPr>
      <t xml:space="preserve">
Hier tragen finden Sie die Detailanforderungen an die zu beschaffende Ware ("Lastenheft"). 
Als Bietende tragen Sie zunächst Ihre Firmenbezeichnung, den Hersteller und die Typenbezeichnung Ihrer angebotenen Ware, sowie die Nettoangebotspreise (ggf. unter Angabe der spezifischen Hersteller und Typenbezeichnungen) der jeweiligen Einzelpositionen ein. 
</t>
    </r>
  </si>
  <si>
    <t xml:space="preserve">In diesem Tabellenblatt trägt die Beschaffungsstelle die spezifische Angebots-ID, Vertragslaufzeit (kann von der geplanten Nutzungsdauer der zu beschaffenden Ware abweichen), sofern relevant eine Laufzeitoption (zusätzlicher Optionszeitraum in Jahren), und den anzusetzenden CO2-Preis ein. 
Hier kann das detaillierte Ergebnis der Lebenszykluskostenberechnungen für das Gesamtlos, d.h. die Gesamtanzahl/-menge an zu beschaffenden Waren abgelesen und durch die Beschaffungsstelle für die Bewertung der eingereichten Angebote genutzt werden. Das Tabellenblatt zeigt auch die Berechnung des Angebotspreises und der Lebenszykluskosten unter Berücksichtigung von Inflation und Abzinsung (lila Rahmen und Felder). 
Die einzelnen Kostenbestandteile der Lebenszykluskosten (Einmalkosten, Transport- und Installationskosten, laufende Kosten) befinden sich in den blauen Rahmen; die prognostizierten Treibhausgasemissionen sowie die daraus resultierenden CO2-Kosten (entweder als Kostenbestandteil integriert in den LCC-Kosten oder separat ausgewiesen und zu bewerten) gemäß dem für die Ausschreibung angesetzten CO2-Preis befinden sich unten rechts im grünen Rahmen. 
</t>
  </si>
  <si>
    <r>
      <rPr>
        <b/>
        <sz val="11"/>
        <rFont val="Calibri"/>
        <family val="2"/>
        <scheme val="minor"/>
      </rPr>
      <t>Tabellenblätter "Ergebnis LCC inkl. CO</t>
    </r>
    <r>
      <rPr>
        <b/>
        <vertAlign val="subscript"/>
        <sz val="11"/>
        <rFont val="Calibri"/>
        <family val="2"/>
        <scheme val="minor"/>
      </rPr>
      <t>2</t>
    </r>
    <r>
      <rPr>
        <b/>
        <sz val="11"/>
        <rFont val="Calibri"/>
        <family val="2"/>
        <scheme val="minor"/>
      </rPr>
      <t>-Kosten" |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In diesem Blatt sind nur Einträge durch die Beschaffungsstelle vorgesehen. 
</t>
    </r>
  </si>
  <si>
    <r>
      <rPr>
        <b/>
        <sz val="11"/>
        <rFont val="Calibri"/>
        <family val="2"/>
        <scheme val="minor"/>
      </rPr>
      <t>Tabellenblätter "Emissionsfaktoren_Stoffe" | "Emissionsfaktoren_Prozesse" | "Emissionsfaktoren_Lebenszyklus"</t>
    </r>
    <r>
      <rPr>
        <sz val="11"/>
        <rFont val="Calibri"/>
        <family val="2"/>
        <scheme val="minor"/>
      </rPr>
      <t xml:space="preserve">
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
</t>
    </r>
  </si>
  <si>
    <r>
      <t xml:space="preserve">Diese beiden Tabellenblätter dienen dazu, die mit der zu beschaffenden Ware verursachten Treibhausgas-emissionen über den Lebenszyklus zu prognostizieren, um die damit verbundenen CO2-Kosten zu ermitteln. 
 </t>
    </r>
    <r>
      <rPr>
        <sz val="11"/>
        <color rgb="FFFF0000"/>
        <rFont val="Calibri"/>
        <family val="2"/>
        <scheme val="minor"/>
      </rPr>
      <t xml:space="preserve"> 
</t>
    </r>
    <r>
      <rPr>
        <u/>
        <sz val="11"/>
        <rFont val="Calibri"/>
        <family val="2"/>
        <scheme val="minor"/>
      </rPr>
      <t>Zertifikat vorhanden</t>
    </r>
    <r>
      <rPr>
        <sz val="11"/>
        <rFont val="Calibri"/>
        <family val="2"/>
        <scheme val="minor"/>
      </rPr>
      <t xml:space="preserve">: Als </t>
    </r>
    <r>
      <rPr>
        <b/>
        <sz val="11"/>
        <rFont val="Calibri"/>
        <family val="2"/>
        <scheme val="minor"/>
      </rPr>
      <t>Zertifikat</t>
    </r>
    <r>
      <rPr>
        <sz val="11"/>
        <rFont val="Calibri"/>
        <family val="2"/>
        <scheme val="minor"/>
      </rPr>
      <t xml:space="preserve"> dient eine (Produkt-)Ökobilanz nach ISO 14040/44 , bei der die potenziellen THG-Emissionen entlang des Lebenszyklus betrachtet werden, eine produktbezogene Klimabilanz nach DIN EN ISO 14067:2019-02, oder eine Klimabilanz nach gleichwertigen Standards. Wenn in den Ausschreibungsunterlagen vorgegeben, müssen die Bietenden priorisiert das Tabellenblatt "THG-Emissionen mit Zertifikat" ausfüllen. Das Tabellenblatt "THG-Emissionen ohne Zertifikat" ist dann nicht zu befüllen.</t>
    </r>
    <r>
      <rPr>
        <sz val="11"/>
        <color theme="1"/>
        <rFont val="Calibri"/>
        <family val="2"/>
        <scheme val="minor"/>
      </rPr>
      <t xml:space="preserve"> Es wird den Bietenden empfohlen, sich ein Zertifikat über die Treibhausgasemissionen für jedes ihrer verfügbaren Produkte erstellen zu lassen. Mittelfristig könnte dies in allen Ausschreibungen gefordert werden. Verwenden Sie als Bietender ein Zertifikat für die Befüllung der Eingabedaten zur Ermittlung der Treibhausgasemissionen, so ist dieses (oder sind diese) als Anlage(n) zum Angebot beizufügen. Alternative Zertifikate sollen bei Gleichwertigkeit akzeptiert werden, auch diese sind von den Bietenden als Nachweis beizufügen.</t>
    </r>
  </si>
  <si>
    <r>
      <rPr>
        <u/>
        <sz val="11"/>
        <color theme="1"/>
        <rFont val="Calibri"/>
        <family val="2"/>
        <scheme val="minor"/>
      </rPr>
      <t>Kein Zertifikat vorhanden</t>
    </r>
    <r>
      <rPr>
        <sz val="11"/>
        <color theme="1"/>
        <rFont val="Calibri"/>
        <family val="2"/>
        <scheme val="minor"/>
      </rPr>
      <t xml:space="preserve">: In diesem Fall muss der Bietende durch eine </t>
    </r>
    <r>
      <rPr>
        <b/>
        <sz val="11"/>
        <color theme="1"/>
        <rFont val="Calibri"/>
        <family val="2"/>
        <scheme val="minor"/>
      </rPr>
      <t>Eigenerklärung den CO2 Wert für die Produktionsphase</t>
    </r>
    <r>
      <rPr>
        <sz val="11"/>
        <color theme="1"/>
        <rFont val="Calibri"/>
        <family val="2"/>
        <scheme val="minor"/>
      </rPr>
      <t xml:space="preserve"> angeben. Die Produktion umfasst dabei sämtliche Prozesse im Rahmen der Herstellung des Produktes, d.h. die Rohstoffextraktion, sämtliche Transporte, Herstellprozesse und die Montage am Produktionsstandort (sofern vorhanden). Dieser Wert wird dann für die Berechnung der produktionsbedingten Treibhausgasemissionen herangezogen. 
</t>
    </r>
  </si>
  <si>
    <r>
      <t xml:space="preserve">für </t>
    </r>
    <r>
      <rPr>
        <i/>
        <u/>
        <sz val="11"/>
        <color theme="1"/>
        <rFont val="Calibri"/>
        <family val="2"/>
        <scheme val="minor"/>
      </rPr>
      <t>eine</t>
    </r>
    <r>
      <rPr>
        <i/>
        <sz val="11"/>
        <color theme="1"/>
        <rFont val="Calibri"/>
        <family val="2"/>
        <scheme val="minor"/>
      </rPr>
      <t xml:space="preserve"> funktionelle Einheit </t>
    </r>
  </si>
  <si>
    <t>Wartungsfrei</t>
  </si>
  <si>
    <r>
      <rPr>
        <b/>
        <sz val="11"/>
        <rFont val="Calibri"/>
        <family val="2"/>
        <scheme val="minor"/>
      </rPr>
      <t>Tabellenblatt "Laufende Kosten"</t>
    </r>
    <r>
      <rPr>
        <sz val="11"/>
        <rFont val="Calibri"/>
        <family val="2"/>
        <scheme val="minor"/>
      </rPr>
      <t xml:space="preserve">
Laufende Kosten können Kosten für Energie-, Treibstoff- oder Wärmebedarf während der Nutzungsdauer der zu beschaffenden Ware sein. Die Beschaffungsstelle gibt in diesem Blatt - sofern für die zu beschaffende Ware relevant - die anzusetzenden Preise für die zu nutzenden Energieträger ein. Auf Basis Ihrer Angaben zum Verbrauch im Tabellenblatt "THG-Emissionen mit/ohne Zertifikat" werden die resultierenden laufenden Verbrauchskosten hier automatisch berechnet. 
Im mittleren Teil des Tabellenblatts tragen Sie als Bietende - sofern für die anzubietende Ware relevant - die  Wartungstätigkeiten ein, die </t>
    </r>
    <r>
      <rPr>
        <u/>
        <sz val="11"/>
        <rFont val="Calibri"/>
        <family val="2"/>
        <scheme val="minor"/>
      </rPr>
      <t>durch den Bietenden übernommen</t>
    </r>
    <r>
      <rPr>
        <sz val="11"/>
        <rFont val="Calibri"/>
        <family val="2"/>
        <scheme val="minor"/>
      </rPr>
      <t xml:space="preserve"> werden, die Anzahl der erforderlichen Tätigkeiten über die angegebene Nutzungsdauer sowie die Kosten der einzelnen Wartungstätigkeit(en) für </t>
    </r>
    <r>
      <rPr>
        <u/>
        <sz val="11"/>
        <rFont val="Calibri"/>
        <family val="2"/>
        <scheme val="minor"/>
      </rPr>
      <t>eine</t>
    </r>
    <r>
      <rPr>
        <sz val="11"/>
        <rFont val="Calibri"/>
        <family val="2"/>
        <scheme val="minor"/>
      </rPr>
      <t xml:space="preserve"> funktionelle Einheit der anzubietenden Ware. Im Ergebnistabellenblatt werden die Transport- und Installationskosten auf die Gesamtmenge der angebotenen Waren (Anzahl funktioneller Einheiten) hochgerechnet. 
Im unteren Teil des Tabellenblatts tragen Sie als Bietende  - sofern für die zu anzubietende Ware relevant - solche Wartungstätigkeiten ein, die </t>
    </r>
    <r>
      <rPr>
        <u/>
        <sz val="11"/>
        <rFont val="Calibri"/>
        <family val="2"/>
        <scheme val="minor"/>
      </rPr>
      <t>von der Beschaffungsstelle selbst ausgeführt</t>
    </r>
    <r>
      <rPr>
        <sz val="11"/>
        <rFont val="Calibri"/>
        <family val="2"/>
        <scheme val="minor"/>
      </rPr>
      <t xml:space="preserve"> werden müssen, die Anzahl der erforderlichen Tätigkeiten über die angegebene Nutzungsdauer sowie die Kosten der einzelnen Wartungstätigkeit(en) für </t>
    </r>
    <r>
      <rPr>
        <u/>
        <sz val="11"/>
        <rFont val="Calibri"/>
        <family val="2"/>
        <scheme val="minor"/>
      </rPr>
      <t>eine</t>
    </r>
    <r>
      <rPr>
        <sz val="11"/>
        <rFont val="Calibri"/>
        <family val="2"/>
        <scheme val="minor"/>
      </rPr>
      <t xml:space="preserve"> funktionelle Einheit der anzubietenden Ware. Im Ergebnistabellenblatt werden die Transport- und Installationskosten auf die Gesamtmenge der angebotenen Waren (Anzahl funktioneller Einheiten) hochgerechnet. </t>
    </r>
  </si>
  <si>
    <t xml:space="preserve">Die THG-Emissionen der Produktherstellung werden durch die beiden oberen Abschnitte plausibilisiert: THG-Emissionen (Energie) + THG-Emissionen (Material). 
Tipp: Sie finden beide Summanden im Tabellenblatt "Produktion" in Spalte L. </t>
  </si>
  <si>
    <r>
      <rPr>
        <b/>
        <sz val="11"/>
        <rFont val="Calibri"/>
        <family val="2"/>
        <scheme val="minor"/>
      </rPr>
      <t xml:space="preserve">THG-Emissionen </t>
    </r>
    <r>
      <rPr>
        <b/>
        <u/>
        <sz val="11"/>
        <rFont val="Calibri"/>
        <family val="2"/>
        <scheme val="minor"/>
      </rPr>
      <t>mit Zertifikat</t>
    </r>
    <r>
      <rPr>
        <sz val="11"/>
        <rFont val="Calibri"/>
        <family val="2"/>
        <scheme val="minor"/>
      </rPr>
      <t xml:space="preserve">: 
Hier machen Sie als Bietende folgende Einträge (weitere, detailliertere  Erläuterungen im Tabellenblatt): 
</t>
    </r>
    <r>
      <rPr>
        <b/>
        <sz val="11"/>
        <rFont val="Calibri"/>
        <family val="2"/>
        <scheme val="minor"/>
      </rPr>
      <t>Phase 1: Produktion</t>
    </r>
    <r>
      <rPr>
        <sz val="11"/>
        <rFont val="Calibri"/>
        <family val="2"/>
        <scheme val="minor"/>
      </rPr>
      <t xml:space="preserve">
-  Energieverbrauch und Treibhausgasemissionen aus der Produktion Ihrer anzubietenden Ware gemäß Zertifikatsnachweis (siehe Erläuterungen unten zu anerkannten Nachweismöglichkeiten)
</t>
    </r>
    <r>
      <rPr>
        <b/>
        <sz val="11"/>
        <rFont val="Calibri"/>
        <family val="2"/>
        <scheme val="minor"/>
      </rPr>
      <t>Phase 2: Transport und Installation</t>
    </r>
    <r>
      <rPr>
        <sz val="11"/>
        <rFont val="Calibri"/>
        <family val="2"/>
        <scheme val="minor"/>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11"/>
        <rFont val="Calibri"/>
        <family val="2"/>
        <scheme val="minor"/>
      </rPr>
      <t>Phase 3: Nutzung und Wartung</t>
    </r>
    <r>
      <rPr>
        <sz val="11"/>
        <rFont val="Calibri"/>
        <family val="2"/>
        <scheme val="minor"/>
      </rPr>
      <t xml:space="preserve">
- Energietyp und Verbrauch pro Jahr 
- Wartungstätigkeit und Häufigkeit während der Nutzungsdauer
</t>
    </r>
  </si>
  <si>
    <r>
      <rPr>
        <b/>
        <sz val="11"/>
        <rFont val="Calibri"/>
        <family val="2"/>
        <scheme val="minor"/>
      </rPr>
      <t xml:space="preserve">THG-Emissionen </t>
    </r>
    <r>
      <rPr>
        <b/>
        <u/>
        <sz val="11"/>
        <rFont val="Calibri"/>
        <family val="2"/>
        <scheme val="minor"/>
      </rPr>
      <t>ohne</t>
    </r>
    <r>
      <rPr>
        <b/>
        <sz val="11"/>
        <rFont val="Calibri"/>
        <family val="2"/>
        <scheme val="minor"/>
      </rPr>
      <t xml:space="preserve"> Zertifikat</t>
    </r>
    <r>
      <rPr>
        <sz val="11"/>
        <rFont val="Calibri"/>
        <family val="2"/>
        <scheme val="minor"/>
      </rPr>
      <t xml:space="preserve">: 
Hier machen Sie als Bietende folgende Einträge (weitere, detailliertere  Erläuterungen im Tabellenblatt): 
</t>
    </r>
    <r>
      <rPr>
        <b/>
        <sz val="11"/>
        <rFont val="Calibri"/>
        <family val="2"/>
        <scheme val="minor"/>
      </rPr>
      <t>Phase 1: Produktion</t>
    </r>
    <r>
      <rPr>
        <sz val="11"/>
        <rFont val="Calibri"/>
        <family val="2"/>
        <scheme val="minor"/>
      </rPr>
      <t xml:space="preserve">
-  Energieverbrauch der Produktion Ihrer anzubietenden Ware und THG-Emissionswert der Energieversorgung (Strommix der finalen Fertigungsstätte)
- Die mengenmäßig relevantesten zehn Materialien (oder Stoffe/Produktionsprozesse - Auswahl über das vorhandene Dropdown-Menü) Ihrer anzubietenden Ware auf EINE funktionelle Einheit bezogen inklusive Erläuterung und Wert. 
- Ihre Eigenerklärung zu den THG-Emissionen aus der Produktion der anzubietenden Ware, um Ihr Angebot ohne Zertifikat mit anderen Angeboten mit Zertifikat vergleichen zu dürfen. Sie können die THG-Emissionen der Produktion mit Hilfe der beiden oberen Abschnitte plausibilisieren: 
THG-Emissionen (Energie) + THG-Emissionen (Material). Tipp: Sie finden beide Summanden im Tabellenblatt "Produktion" in Spalte L. Der Wert der gesamten CO2-Belastung der Produktion liegt meist ca. 10-20 % über dieser Summe der Einzelwerte. 
</t>
    </r>
    <r>
      <rPr>
        <b/>
        <sz val="11"/>
        <rFont val="Calibri"/>
        <family val="2"/>
        <scheme val="minor"/>
      </rPr>
      <t>Phase 2: Transport und Installation</t>
    </r>
    <r>
      <rPr>
        <sz val="11"/>
        <rFont val="Calibri"/>
        <family val="2"/>
        <scheme val="minor"/>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11"/>
        <rFont val="Calibri"/>
        <family val="2"/>
        <scheme val="minor"/>
      </rPr>
      <t>Phase 3: Nutzung und Wartung</t>
    </r>
    <r>
      <rPr>
        <sz val="11"/>
        <rFont val="Calibri"/>
        <family val="2"/>
        <scheme val="minor"/>
      </rPr>
      <t xml:space="preserve">
- Energietyp und Verbrauch pro Jahr 
- Wartungstätigkeit und Häufigkeit während der Nutzungsdauer</t>
    </r>
  </si>
  <si>
    <t xml:space="preserve">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siehe unten.  
</t>
  </si>
  <si>
    <r>
      <rPr>
        <b/>
        <sz val="11"/>
        <rFont val="Calibri"/>
        <family val="2"/>
        <scheme val="minor"/>
      </rPr>
      <t>Tabellenblätter "THG-Emissionen mit Zertifikat" | "THG-Emissionen ohne Zertifikat"</t>
    </r>
    <r>
      <rPr>
        <sz val="11"/>
        <rFont val="Calibri"/>
        <family val="2"/>
        <scheme val="minor"/>
      </rPr>
      <t xml:space="preserve">
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</si>
  <si>
    <t>Bei Laufzeitoption: Gesamtangebotspreis nur für zusätzlichen Optionszeitraum</t>
  </si>
  <si>
    <r>
      <rPr>
        <b/>
        <sz val="11"/>
        <rFont val="Calibri"/>
        <family val="2"/>
        <scheme val="minor"/>
      </rPr>
      <t>Tabellenblätter "Ergebnis LCC inkl. CO</t>
    </r>
    <r>
      <rPr>
        <b/>
        <vertAlign val="subscript"/>
        <sz val="11"/>
        <rFont val="Calibri"/>
        <family val="2"/>
        <scheme val="minor"/>
      </rPr>
      <t>2</t>
    </r>
    <r>
      <rPr>
        <b/>
        <sz val="11"/>
        <rFont val="Calibri"/>
        <family val="2"/>
        <scheme val="minor"/>
      </rPr>
      <t>-Kosten" |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Legen Sie für Ihre Ausschreibung fest, in welcher Form Sie die CO</t>
    </r>
    <r>
      <rPr>
        <vertAlign val="subscript"/>
        <sz val="11"/>
        <rFont val="Calibri"/>
        <family val="2"/>
        <scheme val="minor"/>
      </rPr>
      <t>2</t>
    </r>
    <r>
      <rPr>
        <sz val="11"/>
        <rFont val="Calibri"/>
        <family val="2"/>
        <scheme val="minor"/>
      </rPr>
      <t xml:space="preserve">-Kosten der prognostizierten Treibhausgasemissionen bei der Angebotsbewertung berücksichtigen werden. 
</t>
    </r>
    <r>
      <rPr>
        <u/>
        <sz val="11"/>
        <rFont val="Calibri"/>
        <family val="2"/>
        <scheme val="minor"/>
      </rPr>
      <t>Im Regelfall</t>
    </r>
    <r>
      <rPr>
        <sz val="11"/>
        <rFont val="Calibri"/>
        <family val="2"/>
        <scheme val="minor"/>
      </rPr>
      <t xml:space="preserve"> sollten die CO</t>
    </r>
    <r>
      <rPr>
        <vertAlign val="subscript"/>
        <sz val="11"/>
        <rFont val="Calibri"/>
        <family val="2"/>
        <scheme val="minor"/>
      </rPr>
      <t>2</t>
    </r>
    <r>
      <rPr>
        <sz val="11"/>
        <rFont val="Calibri"/>
        <family val="2"/>
        <scheme val="minor"/>
      </rPr>
      <t>-Kosten Teil der gesamten Lebenszykluskosten sein. In diesem Fall nutzen Sie das Tabellenblatt "Ergebnis LCC inkl. CO</t>
    </r>
    <r>
      <rPr>
        <vertAlign val="subscript"/>
        <sz val="11"/>
        <rFont val="Calibri"/>
        <family val="2"/>
        <scheme val="minor"/>
      </rPr>
      <t>2</t>
    </r>
    <r>
      <rPr>
        <sz val="11"/>
        <rFont val="Calibri"/>
        <family val="2"/>
        <scheme val="minor"/>
      </rPr>
      <t xml:space="preserve">-Kosten", </t>
    </r>
    <r>
      <rPr>
        <b/>
        <sz val="11"/>
        <rFont val="Calibri"/>
        <family val="2"/>
        <scheme val="minor"/>
      </rPr>
      <t>löschen das Tabellenblatt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und leeren auf dem Tabellenblatt "Punktevergabe Übersicht" die Zellen G31-G41, bevor Sie die Datei extern mit den Ausschreibungsunterlagen zur Verfügung stellen. 
</t>
    </r>
    <r>
      <rPr>
        <u/>
        <sz val="11"/>
        <rFont val="Calibri"/>
        <family val="2"/>
        <scheme val="minor"/>
      </rPr>
      <t>Alternativ</t>
    </r>
    <r>
      <rPr>
        <sz val="11"/>
        <rFont val="Calibri"/>
        <family val="2"/>
        <scheme val="minor"/>
      </rPr>
      <t xml:space="preserve"> können Sie die Lebenszykluskosten ohne CO</t>
    </r>
    <r>
      <rPr>
        <vertAlign val="subscript"/>
        <sz val="11"/>
        <rFont val="Calibri"/>
        <family val="2"/>
        <scheme val="minor"/>
      </rPr>
      <t>2</t>
    </r>
    <r>
      <rPr>
        <sz val="11"/>
        <rFont val="Calibri"/>
        <family val="2"/>
        <scheme val="minor"/>
      </rPr>
      <t>-Kosten berechnen und stattdessen die CO</t>
    </r>
    <r>
      <rPr>
        <vertAlign val="subscript"/>
        <sz val="11"/>
        <rFont val="Calibri"/>
        <family val="2"/>
        <scheme val="minor"/>
      </rPr>
      <t>2</t>
    </r>
    <r>
      <rPr>
        <sz val="11"/>
        <rFont val="Calibri"/>
        <family val="2"/>
        <scheme val="minor"/>
      </rPr>
      <t xml:space="preserve">-Kosten als </t>
    </r>
    <r>
      <rPr>
        <i/>
        <sz val="11"/>
        <rFont val="Calibri"/>
        <family val="2"/>
        <scheme val="minor"/>
      </rPr>
      <t>Ökologisches Zuschlagskriterium</t>
    </r>
    <r>
      <rPr>
        <sz val="11"/>
        <rFont val="Calibri"/>
        <family val="2"/>
        <scheme val="minor"/>
      </rPr>
      <t xml:space="preserve"> in die Bewertung einbeziehen. In diesem Fall legen Sie im Tabellenblatt "Punktevergabe Detail" ein entsprechendes Kriterium mit Punktzahl und Gewichtung fest. Sie nutzen dann das Tabellenblatt "Ergebnis LCC ohne CO</t>
    </r>
    <r>
      <rPr>
        <vertAlign val="subscript"/>
        <sz val="11"/>
        <rFont val="Calibri"/>
        <family val="2"/>
        <scheme val="minor"/>
      </rPr>
      <t>2</t>
    </r>
    <r>
      <rPr>
        <sz val="11"/>
        <rFont val="Calibri"/>
        <family val="2"/>
        <scheme val="minor"/>
      </rPr>
      <t xml:space="preserve">-Kosten", </t>
    </r>
    <r>
      <rPr>
        <b/>
        <sz val="11"/>
        <rFont val="Calibri"/>
        <family val="2"/>
        <scheme val="minor"/>
      </rPr>
      <t>löschen das Tabellenblatt "Ergebnis LCC inkl. CO</t>
    </r>
    <r>
      <rPr>
        <b/>
        <vertAlign val="subscript"/>
        <sz val="11"/>
        <rFont val="Calibri"/>
        <family val="2"/>
        <scheme val="minor"/>
      </rPr>
      <t>2</t>
    </r>
    <r>
      <rPr>
        <b/>
        <sz val="11"/>
        <rFont val="Calibri"/>
        <family val="2"/>
        <scheme val="minor"/>
      </rPr>
      <t>-Kosten"</t>
    </r>
    <r>
      <rPr>
        <sz val="11"/>
        <rFont val="Calibri"/>
        <family val="2"/>
        <scheme val="minor"/>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t>
    </r>
    <r>
      <rPr>
        <i/>
        <sz val="11"/>
        <rFont val="Calibri"/>
        <family val="2"/>
        <scheme val="minor"/>
      </rPr>
      <t>Nutzungsdauer</t>
    </r>
    <r>
      <rPr>
        <sz val="11"/>
        <rFont val="Calibri"/>
        <family val="2"/>
        <scheme val="minor"/>
      </rPr>
      <t xml:space="preserve"> der zu beschaffenden Ware abweichen), sofern relevant eine Laufzeitoption (zusätzlicher Optionszeitraum in Jahren), und den anzusetzenden CO</t>
    </r>
    <r>
      <rPr>
        <vertAlign val="subscript"/>
        <sz val="11"/>
        <rFont val="Calibri"/>
        <family val="2"/>
        <scheme val="minor"/>
      </rPr>
      <t>2</t>
    </r>
    <r>
      <rPr>
        <sz val="11"/>
        <rFont val="Calibri"/>
        <family val="2"/>
        <scheme val="minor"/>
      </rPr>
      <t xml:space="preserve">-Preis ein. 
</t>
    </r>
    <r>
      <rPr>
        <u/>
        <sz val="11"/>
        <rFont val="Calibri"/>
        <family val="2"/>
        <scheme val="minor"/>
      </rPr>
      <t>CO</t>
    </r>
    <r>
      <rPr>
        <u/>
        <vertAlign val="subscript"/>
        <sz val="11"/>
        <rFont val="Calibri"/>
        <family val="2"/>
        <scheme val="minor"/>
      </rPr>
      <t>2</t>
    </r>
    <r>
      <rPr>
        <u/>
        <sz val="11"/>
        <rFont val="Calibri"/>
        <family val="2"/>
        <scheme val="minor"/>
      </rPr>
      <t>-Preis</t>
    </r>
    <r>
      <rPr>
        <sz val="11"/>
        <rFont val="Calibri"/>
        <family val="2"/>
        <scheme val="minor"/>
      </rPr>
      <t>: Liegt keine hausinterne Vorgabe vor, können Sie für den Nutzungszeitraum der zu beschaffenden Ware bis einschließlich des Jahres 2026 die CO</t>
    </r>
    <r>
      <rPr>
        <vertAlign val="subscript"/>
        <sz val="11"/>
        <rFont val="Calibri"/>
        <family val="2"/>
        <scheme val="minor"/>
      </rPr>
      <t>2</t>
    </r>
    <r>
      <rPr>
        <sz val="11"/>
        <rFont val="Calibri"/>
        <family val="2"/>
        <scheme val="minor"/>
      </rPr>
      <t>-Preise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</si>
  <si>
    <r>
      <rPr>
        <b/>
        <sz val="11"/>
        <rFont val="Calibri"/>
        <family val="2"/>
        <scheme val="minor"/>
      </rPr>
      <t>Tabellenblätter "Punktevergabe Übersicht" | "Punktevergabe Details"</t>
    </r>
    <r>
      <rPr>
        <sz val="11"/>
        <rFont val="Calibri"/>
        <family val="2"/>
        <scheme val="minor"/>
      </rPr>
      <t xml:space="preserve">
Tragen Sie auf der linken Seite das Punktevergabeschema für Ihre Ausschreibung ein (auf der rechten Seite nehmen Sie die Bewertung </t>
    </r>
    <r>
      <rPr>
        <u/>
        <sz val="11"/>
        <rFont val="Calibri"/>
        <family val="2"/>
        <scheme val="minor"/>
      </rPr>
      <t>nach</t>
    </r>
    <r>
      <rPr>
        <sz val="11"/>
        <rFont val="Calibri"/>
        <family val="2"/>
        <scheme val="minor"/>
      </rPr>
      <t xml:space="preserve">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t>
    </r>
    <r>
      <rPr>
        <u/>
        <sz val="11"/>
        <rFont val="Calibri"/>
        <family val="2"/>
        <scheme val="minor"/>
      </rPr>
      <t>Angebotsbewertung</t>
    </r>
    <r>
      <rPr>
        <sz val="11"/>
        <rFont val="Calibri"/>
        <family val="2"/>
        <scheme val="minor"/>
      </rPr>
      <t xml:space="preserve">: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</si>
  <si>
    <t>zurück zur Übersicht</t>
  </si>
  <si>
    <t xml:space="preserve">zurück zur Anleitung für Beschaffende </t>
  </si>
  <si>
    <t>zurück zur Anleitung für Bietende</t>
  </si>
  <si>
    <t>zum Tabellenblatt Punktevergabe Übersicht</t>
  </si>
  <si>
    <t>zum Tabellenblatt Punktevergabe Details</t>
  </si>
  <si>
    <t>Zum Tabellenblatt Einmalkosten</t>
  </si>
  <si>
    <t>Zum Tabellenblatt Laufende Kosten</t>
  </si>
  <si>
    <t>Zum Tabellenblatt Investitionsrechnung</t>
  </si>
  <si>
    <t>Zum Tabellenblatt Emissionsfaktoren Prozesse</t>
  </si>
  <si>
    <t>Zum Tabellenblatt Emissionsfaktoren Lebenszyklus</t>
  </si>
  <si>
    <t>Zum Tabellenblatt Transport + Installationskosten</t>
  </si>
  <si>
    <t>Zum Tabellenblatt 
THG-Emissionen 
mit Zertifikat</t>
  </si>
  <si>
    <t>Zum Tabellenblatt 
THG-Emissionen 
ohne Zertifikat</t>
  </si>
  <si>
    <t>Zum Tabellenblatt Ergebnis LCC 
inkl. CO2-Kosten</t>
  </si>
  <si>
    <t>Zum Tabellenblatt Ergebnis LCC 
ohne CO2-Kosten</t>
  </si>
  <si>
    <t>Zum Tabellenblatt Emissionsfaktoren 
Stoffe</t>
  </si>
  <si>
    <t>Zum Tabellenblatt Produktion</t>
  </si>
  <si>
    <t>Zum Tabellenblatt Transport+Installation</t>
  </si>
  <si>
    <t>Zum Tabellenblatt Nutzung</t>
  </si>
  <si>
    <r>
      <t xml:space="preserve">UBA-LCC-CO2-Tool; </t>
    </r>
    <r>
      <rPr>
        <b/>
        <sz val="11"/>
        <color theme="1"/>
        <rFont val="Calibri"/>
        <family val="2"/>
        <scheme val="minor"/>
      </rPr>
      <t>Version 5.0, Stand 19.02.2025</t>
    </r>
    <r>
      <rPr>
        <sz val="11"/>
        <color theme="1"/>
        <rFont val="Calibri"/>
        <family val="2"/>
        <scheme val="minor"/>
      </rPr>
      <t xml:space="preserve">
Hinweis: 
Das Tool ist in MS 365 getestet; bei anderen Versionen kann es evtl. zu Darstellungsproblemen kommen.</t>
    </r>
  </si>
  <si>
    <t>Lastenheft Info 2:</t>
  </si>
  <si>
    <t>Lastenheft Info 1:</t>
  </si>
  <si>
    <t>Betrachtungszeitraum in Jahren (= Lebenszyklus)</t>
  </si>
  <si>
    <t>Betrachtungszeitraum</t>
  </si>
  <si>
    <t xml:space="preserve">Diese drei Tabellenblätter dienen zur Erfassung der mit dem Angebot verbundenen Lebenszykluskosten-Bestandteile. Neben dem/den Anschaffungspreis(en) tragen die Bietenden, sofern relevant, auch Kosten ein, die durch die Anlieferung der Ware und/oder die Installation bzw. Errichtung vor Ort entstehen. 
Laufende Kosten können Kosten für Energie-, Treibstoff- oder Wärmebedarf während der Nutzungsdauer der zu beschaffenden Ware sein. Schließlich können die Bietenden Kosten für Wartungstätigkeiten während der Nutzungsdauer ansetzen. Hierbei wird unterschieden zwischen Wartungstätigkeiten, die gemäß Forderung in den Ausschreibungsunterlagen durch den Bietenden auszuführen sind, und/oder ggf. auch erforderliche Wartungstätigkeiten, die durch die Beschaffungsstelle selbst durchzuführen sind und deren Kosten in den Lebenszykluskosten berücksichtigt werden sollen. Alle Kosten bzw. Preise sind netto anzugeben. 
Stundenkostensätze, die nicht in den Ausschreibungsunterlagen vorgegeben sind, sind freizulassen. Hierzu wird erst in den folgenden Verhandlungsrunden zwischen Bietendem und Beschaffungsstelle die Klärung herbeigeführt. Wenn der Bietende nichts einträgt, obwohl die Angaben in den Ausschreibungsunterlagen vorhanden sind, tragen Sie als Beschaffungsstelle diese Werte zur Auswertung ein.
</t>
  </si>
  <si>
    <r>
      <rPr>
        <b/>
        <sz val="11"/>
        <rFont val="Calibri"/>
        <family val="2"/>
        <scheme val="minor"/>
      </rPr>
      <t>Tabellenblatt "Transport+Installationskosten"</t>
    </r>
    <r>
      <rPr>
        <sz val="11"/>
        <rFont val="Calibri"/>
        <family val="2"/>
        <scheme val="minor"/>
      </rPr>
      <t xml:space="preserve">
In diesem Blatt spezifizieren Sie Transportkostenanteile und Installationskostenanteile und tragen die jeweils damit verbundenen Einzelpreise bezogen auf </t>
    </r>
    <r>
      <rPr>
        <u/>
        <sz val="11"/>
        <rFont val="Calibri"/>
        <family val="2"/>
        <scheme val="minor"/>
      </rPr>
      <t>eine</t>
    </r>
    <r>
      <rPr>
        <sz val="11"/>
        <rFont val="Calibri"/>
        <family val="2"/>
        <scheme val="minor"/>
      </rPr>
      <t xml:space="preserve"> funktionelle Einheit der anzubietenden Ware ein. Alle Kosten bzw. Preise sind netto anzugeben. 
Im Ergebnistabellenblatt werden die Transport- und Installationskosten auf die Gesamtmenge der angebotenen Waren (Anzahl funktioneller Einheiten) hochgerechnet.  </t>
    </r>
  </si>
  <si>
    <t>Energiekosten über Betrachtungszeitraum</t>
  </si>
  <si>
    <r>
      <t xml:space="preserve">Gesamtsumme laufende Kosten über Betrachtungszeitraum bezogen auf </t>
    </r>
    <r>
      <rPr>
        <b/>
        <u/>
        <sz val="11"/>
        <color theme="1"/>
        <rFont val="Calibri"/>
        <family val="2"/>
        <scheme val="minor"/>
      </rPr>
      <t>eine</t>
    </r>
    <r>
      <rPr>
        <b/>
        <sz val="11"/>
        <color theme="1"/>
        <rFont val="Calibri"/>
        <family val="2"/>
        <scheme val="minor"/>
      </rPr>
      <t xml:space="preserve"> funktionelle Einheit</t>
    </r>
  </si>
  <si>
    <t>Wartungskosten durch Bietenden über Betrachtungszeitraum</t>
  </si>
  <si>
    <t>Wartungsumfang 
(Anzahl über Betrachtungszeitraum)</t>
  </si>
  <si>
    <t>Wartungskosten 
über Betrachtungszeitraum)</t>
  </si>
  <si>
    <t>Wartungskosten durch Beschaffungsstelle über Betrachtungszeitraum</t>
  </si>
  <si>
    <t>Betrachtungszeitraum (Lebenszyklus) der zu beschaffenden Ware (t)</t>
  </si>
  <si>
    <r>
      <t xml:space="preserve">Summe Barwert (BW) aller laufenden Kosten für </t>
    </r>
    <r>
      <rPr>
        <b/>
        <u/>
        <sz val="11"/>
        <rFont val="Calibri"/>
        <family val="2"/>
        <scheme val="minor"/>
      </rPr>
      <t>eine</t>
    </r>
    <r>
      <rPr>
        <b/>
        <sz val="11"/>
        <rFont val="Calibri"/>
        <family val="2"/>
        <scheme val="minor"/>
      </rPr>
      <t xml:space="preserve"> funktionelle Einheit über den Betrachtungszeitraum =BW (d-p; t; laufende Kosten)</t>
    </r>
  </si>
  <si>
    <r>
      <t xml:space="preserve">Lebenszykluskosten </t>
    </r>
    <r>
      <rPr>
        <b/>
        <i/>
        <sz val="11"/>
        <rFont val="Calibri"/>
        <family val="2"/>
        <scheme val="minor"/>
      </rPr>
      <t xml:space="preserve">für </t>
    </r>
    <r>
      <rPr>
        <b/>
        <i/>
        <u/>
        <sz val="11"/>
        <rFont val="Calibri"/>
        <family val="2"/>
        <scheme val="minor"/>
      </rPr>
      <t>eine</t>
    </r>
    <r>
      <rPr>
        <b/>
        <i/>
        <sz val="11"/>
        <rFont val="Calibri"/>
        <family val="2"/>
        <scheme val="minor"/>
      </rPr>
      <t xml:space="preserve"> funktionelle Einheit</t>
    </r>
    <r>
      <rPr>
        <b/>
        <sz val="11"/>
        <rFont val="Calibri"/>
        <family val="2"/>
        <scheme val="minor"/>
      </rPr>
      <t xml:space="preserve"> über den Betrachtungszeitraum</t>
    </r>
  </si>
  <si>
    <t>Betrachtungszeitraum (in x Jahren)</t>
  </si>
  <si>
    <t>Häufigkeit während Betrachtungs-zeitraum</t>
  </si>
  <si>
    <t>Ist die erforderliche Tätigkeit im Dropdown vorhanden, einfach übernehmen und Häufigkeit während Betrachtungszeitraum ergänzen</t>
  </si>
  <si>
    <t>Betrachtungszeitraum in x Jahren</t>
  </si>
  <si>
    <t xml:space="preserve">Anteile laufende Kosten (Gesamtlos) über Betrachtungszeitraum </t>
  </si>
  <si>
    <t>Summe laufende Kosten (Gesamtlos) 
über Betrachtungszeitraum</t>
  </si>
  <si>
    <t>Umfasst Emissionen aus Betrieb und Instandhaltung innerhalb des Betrachtungszeitraums (= Lebenszyklus)</t>
  </si>
  <si>
    <t>Energiebedarf im Betrachtungszeitraum (Lebenszyklus)</t>
  </si>
  <si>
    <t>Anschaffung Dockingstation</t>
  </si>
  <si>
    <t>Anschaffung Monitor 22''</t>
  </si>
  <si>
    <t>Anschaffung Tastatur, kabelgebunden</t>
  </si>
  <si>
    <t>Anschaffung Maus, kabelgebunden</t>
  </si>
  <si>
    <t>Anschaffung Notebook 15'', 512 GB</t>
  </si>
  <si>
    <t>Verwaltungsaufwand der zusätzlichen Beschaffungsvorgänge (Tagesbruttopersonalkosten, Tagessach- und Gemeinkosten)</t>
  </si>
  <si>
    <t xml:space="preserve">Reale Auf- oder Abzinsungsrate (r) </t>
  </si>
  <si>
    <t xml:space="preserve">Angenommene Nutzungsdauer 3 Jahre </t>
  </si>
  <si>
    <t xml:space="preserve">Angenommene Nutzungsdauer 6 Jahre </t>
  </si>
  <si>
    <t>Arbeitsplatzcomputer, Variante Notebook 3 Jahre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</si>
</sst>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0.00\ &quot;€&quot;;[Red]\-#,##0.00\ &quot;€&quot;"/>
    <numFmt numFmtId="44" formatCode="_-* #,##0.00\ &quot;€&quot;_-;\-* #,##0.00\ &quot;€&quot;_-;_-* &quot;-&quot;??\ &quot;€&quot;_-;_-@_-"/>
    <numFmt numFmtId="43" formatCode="_-* #,##0.00_-;\-* #,##0.00_-;_-* &quot;-&quot;??_-;_-@_-"/>
    <numFmt numFmtId="164" formatCode="_-[$€-2]\ * #,##0.00_-;\-[$€-2]\ * #,##0.00_-;_-[$€-2]\ * &quot;-&quot;??_-;_-@_-"/>
    <numFmt numFmtId="165" formatCode="0.0%"/>
    <numFmt numFmtId="166" formatCode="0.0000"/>
    <numFmt numFmtId="167" formatCode="_-[$€-C07]\ * #,##0.00_-;\-[$€-C07]\ * #,##0.00_-;_-[$€-C07]\ * &quot;-&quot;??_-;_-@_-"/>
    <numFmt numFmtId="168" formatCode="_-&quot;€&quot;\ * #,##0.00_-;\-&quot;€&quot;\ * #,##0.00_-;_-&quot;€&quot;\ * &quot;-&quot;??_-;_-@_-"/>
    <numFmt numFmtId="169" formatCode="_-* #,##0.00\ [$€-407]_-;\-* #,##0.00\ [$€-407]_-;_-* &quot;-&quot;??\ [$€-407]_-;_-@_-"/>
    <numFmt numFmtId="170" formatCode="_-* #,##0_-;\-* #,##0_-;_-* &quot;-&quot;??_-;_-@_-"/>
    <numFmt numFmtId="171" formatCode="0.000"/>
  </numFmts>
  <fonts count="100">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Calibri"/>
      <family val="2"/>
      <scheme val="minor"/>
    </font>
    <font>
      <sz val="11"/>
      <color theme="1" tint="0.249977111117893"/>
      <name val="Calibri"/>
      <family val="2"/>
      <scheme val="minor"/>
    </font>
    <font>
      <b/>
      <sz val="11"/>
      <color theme="1"/>
      <name val="Calibri"/>
      <family val="2"/>
      <scheme val="minor"/>
    </font>
    <font>
      <sz val="11"/>
      <name val="Calibri"/>
      <family val="2"/>
      <scheme val="minor"/>
    </font>
    <font>
      <b/>
      <sz val="12"/>
      <color theme="1"/>
      <name val="Calibri"/>
      <family val="2"/>
      <scheme val="minor"/>
    </font>
    <font>
      <sz val="8"/>
      <color theme="1"/>
      <name val="Calibri"/>
      <family val="2"/>
      <scheme val="minor"/>
    </font>
    <font>
      <u/>
      <sz val="11"/>
      <color theme="10"/>
      <name val="Calibri"/>
      <family val="2"/>
      <scheme val="minor"/>
    </font>
    <font>
      <sz val="11"/>
      <color theme="1"/>
      <name val="Arial"/>
      <family val="2"/>
    </font>
    <font>
      <b/>
      <sz val="11"/>
      <name val="Calibri"/>
      <family val="2"/>
      <scheme val="minor"/>
    </font>
    <font>
      <sz val="11"/>
      <color theme="0"/>
      <name val="Calibri"/>
      <family val="2"/>
      <scheme val="minor"/>
    </font>
    <font>
      <b/>
      <sz val="11"/>
      <color theme="0"/>
      <name val="Calibri"/>
      <family val="2"/>
      <scheme val="minor"/>
    </font>
    <font>
      <b/>
      <sz val="20"/>
      <color theme="0"/>
      <name val="Calibri"/>
      <family val="2"/>
      <scheme val="minor"/>
    </font>
    <font>
      <b/>
      <sz val="72"/>
      <name val="Calibri"/>
      <family val="2"/>
      <scheme val="minor"/>
    </font>
    <font>
      <i/>
      <sz val="11"/>
      <color theme="1"/>
      <name val="Calibri"/>
      <family val="2"/>
      <scheme val="minor"/>
    </font>
    <font>
      <sz val="18"/>
      <color theme="1"/>
      <name val="Calibri"/>
      <family val="2"/>
      <scheme val="minor"/>
    </font>
    <font>
      <u/>
      <sz val="8"/>
      <color theme="10"/>
      <name val="Calibri"/>
      <family val="2"/>
      <scheme val="minor"/>
    </font>
    <font>
      <sz val="8"/>
      <name val="Arial"/>
      <family val="2"/>
    </font>
    <font>
      <sz val="11"/>
      <color theme="0" tint="-0.249977111117893"/>
      <name val="Arial"/>
      <family val="2"/>
    </font>
    <font>
      <b/>
      <sz val="11"/>
      <color theme="0" tint="-0.249977111117893"/>
      <name val="Arial"/>
      <family val="2"/>
    </font>
    <font>
      <sz val="11"/>
      <color rgb="FFFF0000"/>
      <name val="Calibri"/>
      <family val="2"/>
      <scheme val="minor"/>
    </font>
    <font>
      <b/>
      <sz val="48"/>
      <name val="Calibri"/>
      <family val="2"/>
      <scheme val="minor"/>
    </font>
    <font>
      <sz val="14"/>
      <color theme="1"/>
      <name val="Calibri"/>
      <family val="2"/>
      <scheme val="minor"/>
    </font>
    <font>
      <sz val="26"/>
      <color theme="1"/>
      <name val="Calibri"/>
      <family val="2"/>
      <scheme val="minor"/>
    </font>
    <font>
      <b/>
      <sz val="26"/>
      <color theme="1"/>
      <name val="Calibri"/>
      <family val="2"/>
      <scheme val="minor"/>
    </font>
    <font>
      <b/>
      <u/>
      <sz val="11"/>
      <color theme="1"/>
      <name val="Calibri"/>
      <family val="2"/>
      <scheme val="minor"/>
    </font>
    <font>
      <b/>
      <u/>
      <sz val="11"/>
      <name val="Calibri"/>
      <family val="2"/>
      <scheme val="minor"/>
    </font>
    <font>
      <u/>
      <sz val="11"/>
      <color theme="1"/>
      <name val="Calibri"/>
      <family val="2"/>
      <scheme val="minor"/>
    </font>
    <font>
      <u/>
      <sz val="11"/>
      <name val="Calibri"/>
      <family val="2"/>
      <scheme val="minor"/>
    </font>
    <font>
      <i/>
      <sz val="11"/>
      <color theme="0"/>
      <name val="Calibri"/>
      <family val="2"/>
      <scheme val="minor"/>
    </font>
    <font>
      <sz val="10"/>
      <color theme="1"/>
      <name val="Calibri"/>
      <family val="2"/>
      <scheme val="minor"/>
    </font>
    <font>
      <b/>
      <sz val="12"/>
      <name val="Calibri"/>
      <family val="2"/>
      <scheme val="minor"/>
    </font>
    <font>
      <i/>
      <sz val="10"/>
      <color theme="0"/>
      <name val="Calibri"/>
      <family val="2"/>
      <scheme val="minor"/>
    </font>
    <font>
      <i/>
      <sz val="10"/>
      <color theme="1"/>
      <name val="Calibri"/>
      <family val="2"/>
      <scheme val="minor"/>
    </font>
    <font>
      <b/>
      <i/>
      <sz val="11"/>
      <color theme="1"/>
      <name val="Calibri"/>
      <family val="2"/>
      <scheme val="minor"/>
    </font>
    <font>
      <sz val="10"/>
      <color rgb="FF000000"/>
      <name val="Calibri"/>
      <family val="2"/>
      <scheme val="minor"/>
    </font>
    <font>
      <b/>
      <sz val="48"/>
      <color rgb="FFFF0000"/>
      <name val="Calibri"/>
      <family val="2"/>
      <scheme val="minor"/>
    </font>
    <font>
      <b/>
      <u/>
      <sz val="18"/>
      <color theme="1"/>
      <name val="Calibri"/>
      <family val="2"/>
      <scheme val="minor"/>
    </font>
    <font>
      <b/>
      <vertAlign val="subscript"/>
      <sz val="26"/>
      <color theme="1"/>
      <name val="Calibri"/>
      <family val="2"/>
      <scheme val="minor"/>
    </font>
    <font>
      <vertAlign val="subscript"/>
      <sz val="11"/>
      <color theme="1"/>
      <name val="Calibri"/>
      <family val="2"/>
      <scheme val="minor"/>
    </font>
    <font>
      <b/>
      <sz val="26"/>
      <name val="Calibri"/>
      <family val="2"/>
      <scheme val="minor"/>
    </font>
    <font>
      <b/>
      <i/>
      <sz val="11"/>
      <name val="Calibri"/>
      <family val="2"/>
      <scheme val="minor"/>
    </font>
    <font>
      <i/>
      <sz val="11"/>
      <name val="Calibri"/>
      <family val="2"/>
      <scheme val="minor"/>
    </font>
    <font>
      <i/>
      <sz val="10"/>
      <name val="Calibri"/>
      <family val="2"/>
      <scheme val="minor"/>
    </font>
    <font>
      <b/>
      <i/>
      <sz val="14"/>
      <color theme="1"/>
      <name val="Calibri"/>
      <family val="2"/>
      <scheme val="minor"/>
    </font>
    <font>
      <i/>
      <vertAlign val="subscript"/>
      <sz val="11"/>
      <name val="Calibri"/>
      <family val="2"/>
      <scheme val="minor"/>
    </font>
    <font>
      <b/>
      <vertAlign val="subscript"/>
      <sz val="11"/>
      <color theme="1"/>
      <name val="Calibri"/>
      <family val="2"/>
      <scheme val="minor"/>
    </font>
    <font>
      <vertAlign val="subscript"/>
      <sz val="11"/>
      <name val="Calibri"/>
      <family val="2"/>
      <scheme val="minor"/>
    </font>
    <font>
      <b/>
      <sz val="16"/>
      <name val="Calibri"/>
      <family val="2"/>
      <scheme val="minor"/>
    </font>
    <font>
      <b/>
      <i/>
      <sz val="14"/>
      <name val="Calibri"/>
      <family val="2"/>
      <scheme val="minor"/>
    </font>
    <font>
      <b/>
      <sz val="14"/>
      <name val="Calibri"/>
      <family val="2"/>
      <scheme val="minor"/>
    </font>
    <font>
      <vertAlign val="superscript"/>
      <sz val="11"/>
      <color theme="1"/>
      <name val="Calibri"/>
      <family val="2"/>
      <scheme val="minor"/>
    </font>
    <font>
      <b/>
      <sz val="11"/>
      <color theme="1"/>
      <name val="Calibri"/>
      <scheme val="minor"/>
    </font>
    <font>
      <i/>
      <sz val="8"/>
      <color theme="1"/>
      <name val="Calibri"/>
      <family val="2"/>
      <scheme val="minor"/>
    </font>
    <font>
      <b/>
      <sz val="16"/>
      <color theme="1"/>
      <name val="Calibri"/>
      <family val="2"/>
      <scheme val="minor"/>
    </font>
    <font>
      <sz val="11"/>
      <name val="Calibri"/>
      <scheme val="minor"/>
    </font>
    <font>
      <sz val="18"/>
      <color theme="1"/>
      <name val="Calibri"/>
      <scheme val="minor"/>
    </font>
    <font>
      <i/>
      <sz val="8"/>
      <color theme="1"/>
      <name val="Calibri"/>
      <scheme val="minor"/>
    </font>
    <font>
      <b/>
      <sz val="18"/>
      <color theme="1"/>
      <name val="Calibri"/>
      <family val="2"/>
      <scheme val="minor"/>
    </font>
    <font>
      <i/>
      <u/>
      <sz val="11"/>
      <name val="Calibri"/>
      <family val="2"/>
      <scheme val="minor"/>
    </font>
    <font>
      <b/>
      <u/>
      <sz val="26"/>
      <color theme="1"/>
      <name val="Calibri"/>
      <family val="2"/>
      <scheme val="minor"/>
    </font>
    <font>
      <u/>
      <vertAlign val="subscript"/>
      <sz val="11"/>
      <name val="Calibri"/>
      <family val="2"/>
      <scheme val="minor"/>
    </font>
    <font>
      <b/>
      <vertAlign val="subscript"/>
      <sz val="11"/>
      <name val="Calibri"/>
      <family val="2"/>
      <scheme val="minor"/>
    </font>
    <font>
      <b/>
      <i/>
      <u/>
      <sz val="11"/>
      <name val="Calibri"/>
      <family val="2"/>
      <scheme val="minor"/>
    </font>
    <font>
      <b/>
      <u/>
      <sz val="16"/>
      <color theme="1"/>
      <name val="Calibri"/>
      <family val="2"/>
      <scheme val="minor"/>
    </font>
    <font>
      <b/>
      <vertAlign val="subscript"/>
      <sz val="26"/>
      <name val="Calibri"/>
      <family val="2"/>
      <scheme val="minor"/>
    </font>
    <font>
      <b/>
      <sz val="9"/>
      <color theme="1"/>
      <name val="Calibri"/>
      <family val="2"/>
      <scheme val="minor"/>
    </font>
    <font>
      <i/>
      <sz val="9"/>
      <color theme="1"/>
      <name val="Calibri"/>
      <family val="2"/>
      <scheme val="minor"/>
    </font>
    <font>
      <b/>
      <vertAlign val="subscript"/>
      <sz val="14"/>
      <name val="Calibri"/>
      <family val="2"/>
      <scheme val="minor"/>
    </font>
    <font>
      <i/>
      <vertAlign val="subscript"/>
      <sz val="10"/>
      <name val="Calibri"/>
      <family val="2"/>
      <scheme val="minor"/>
    </font>
    <font>
      <b/>
      <u/>
      <sz val="26"/>
      <name val="Calibri"/>
      <family val="2"/>
      <scheme val="minor"/>
    </font>
    <font>
      <b/>
      <vertAlign val="subscript"/>
      <sz val="14"/>
      <color theme="1"/>
      <name val="Calibri"/>
      <family val="2"/>
      <scheme val="minor"/>
    </font>
    <font>
      <b/>
      <vertAlign val="subscript"/>
      <sz val="16"/>
      <name val="Calibri"/>
      <family val="2"/>
      <scheme val="minor"/>
    </font>
    <font>
      <sz val="9"/>
      <color theme="1"/>
      <name val="Calibri"/>
      <family val="2"/>
      <scheme val="minor"/>
    </font>
    <font>
      <i/>
      <u/>
      <sz val="9"/>
      <color theme="1"/>
      <name val="Calibri"/>
      <family val="2"/>
      <scheme val="minor"/>
    </font>
    <font>
      <b/>
      <u/>
      <sz val="14"/>
      <color theme="1"/>
      <name val="Calibri"/>
      <family val="2"/>
      <scheme val="minor"/>
    </font>
    <font>
      <i/>
      <u/>
      <sz val="11"/>
      <color theme="1"/>
      <name val="Calibri"/>
      <family val="2"/>
      <scheme val="minor"/>
    </font>
    <font>
      <sz val="10"/>
      <name val="Calibri"/>
      <family val="2"/>
      <scheme val="minor"/>
    </font>
    <font>
      <sz val="9"/>
      <color indexed="81"/>
      <name val="Segoe UI"/>
      <charset val="1"/>
    </font>
    <font>
      <b/>
      <sz val="9"/>
      <color indexed="81"/>
      <name val="Segoe UI"/>
      <family val="2"/>
    </font>
    <font>
      <sz val="9"/>
      <color indexed="81"/>
      <name val="Segoe UI"/>
      <family val="2"/>
    </font>
    <font>
      <u/>
      <sz val="9"/>
      <color indexed="81"/>
      <name val="Segoe UI"/>
      <family val="2"/>
    </font>
    <font>
      <b/>
      <u/>
      <sz val="9"/>
      <color indexed="81"/>
      <name val="Segoe UI"/>
      <family val="2"/>
    </font>
  </fonts>
  <fills count="1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rgb="FFC5C5C9"/>
        <bgColor indexed="64"/>
      </patternFill>
    </fill>
    <fill>
      <patternFill patternType="solid">
        <fgColor theme="9" tint="0.79998168889431442"/>
        <bgColor theme="9" tint="0.79998168889431442"/>
      </patternFill>
    </fill>
    <fill>
      <patternFill patternType="solid">
        <fgColor rgb="FFFFD288"/>
        <bgColor indexed="64"/>
      </patternFill>
    </fill>
    <fill>
      <patternFill patternType="solid">
        <fgColor rgb="FFD9BBD8"/>
        <bgColor indexed="64"/>
      </patternFill>
    </fill>
    <fill>
      <patternFill patternType="solid">
        <fgColor rgb="FF88DEFF"/>
        <bgColor indexed="64"/>
      </patternFill>
    </fill>
    <fill>
      <patternFill patternType="solid">
        <fgColor rgb="FFF1A0BD"/>
        <bgColor indexed="64"/>
      </patternFill>
    </fill>
    <fill>
      <patternFill patternType="solid">
        <fgColor rgb="FFDEF1D3"/>
        <bgColor indexed="64"/>
      </patternFill>
    </fill>
    <fill>
      <patternFill patternType="solid">
        <fgColor rgb="FFDEF1D3"/>
        <bgColor theme="9" tint="0.79998168889431442"/>
      </patternFill>
    </fill>
    <fill>
      <patternFill patternType="solid">
        <fgColor rgb="FFBCE4A7"/>
        <bgColor indexed="64"/>
      </patternFill>
    </fill>
    <fill>
      <patternFill patternType="solid">
        <fgColor rgb="FF85DFFF"/>
        <bgColor indexed="64"/>
      </patternFill>
    </fill>
  </fills>
  <borders count="1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9"/>
      </left>
      <right style="thin">
        <color theme="9"/>
      </right>
      <top style="thin">
        <color theme="9"/>
      </top>
      <bottom style="thin">
        <color theme="9"/>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theme="9"/>
      </left>
      <right style="thin">
        <color theme="9"/>
      </right>
      <top style="thin">
        <color theme="9"/>
      </top>
      <bottom/>
      <diagonal/>
    </border>
    <border>
      <left style="thin">
        <color theme="9"/>
      </left>
      <right style="thin">
        <color theme="9"/>
      </right>
      <top/>
      <bottom style="thin">
        <color theme="9"/>
      </bottom>
      <diagonal/>
    </border>
    <border>
      <left style="thick">
        <color rgb="FFFFD288"/>
      </left>
      <right/>
      <top style="thick">
        <color rgb="FFFFD288"/>
      </top>
      <bottom/>
      <diagonal/>
    </border>
    <border>
      <left/>
      <right/>
      <top style="thick">
        <color rgb="FFFFD288"/>
      </top>
      <bottom/>
      <diagonal/>
    </border>
    <border>
      <left/>
      <right style="thick">
        <color rgb="FFFFD288"/>
      </right>
      <top style="thick">
        <color rgb="FFFFD288"/>
      </top>
      <bottom/>
      <diagonal/>
    </border>
    <border>
      <left style="thick">
        <color rgb="FFFFD288"/>
      </left>
      <right/>
      <top/>
      <bottom/>
      <diagonal/>
    </border>
    <border>
      <left/>
      <right style="thick">
        <color rgb="FFFFD288"/>
      </right>
      <top/>
      <bottom/>
      <diagonal/>
    </border>
    <border>
      <left style="thick">
        <color rgb="FFFFD288"/>
      </left>
      <right/>
      <top/>
      <bottom style="thick">
        <color rgb="FFFFD288"/>
      </bottom>
      <diagonal/>
    </border>
    <border>
      <left/>
      <right/>
      <top/>
      <bottom style="thick">
        <color rgb="FFFFD288"/>
      </bottom>
      <diagonal/>
    </border>
    <border>
      <left/>
      <right style="thick">
        <color rgb="FFFFD288"/>
      </right>
      <top/>
      <bottom style="thick">
        <color rgb="FFFFD288"/>
      </bottom>
      <diagonal/>
    </border>
    <border>
      <left/>
      <right/>
      <top style="thin">
        <color indexed="64"/>
      </top>
      <bottom style="medium">
        <color indexed="64"/>
      </bottom>
      <diagonal/>
    </border>
    <border>
      <left style="thick">
        <color rgb="FFD9BBD8"/>
      </left>
      <right/>
      <top style="thick">
        <color rgb="FFD9BBD8"/>
      </top>
      <bottom/>
      <diagonal/>
    </border>
    <border>
      <left/>
      <right/>
      <top style="thick">
        <color rgb="FFD9BBD8"/>
      </top>
      <bottom/>
      <diagonal/>
    </border>
    <border>
      <left/>
      <right style="thick">
        <color rgb="FFD9BBD8"/>
      </right>
      <top style="thick">
        <color rgb="FFD9BBD8"/>
      </top>
      <bottom/>
      <diagonal/>
    </border>
    <border>
      <left style="thick">
        <color rgb="FFD9BBD8"/>
      </left>
      <right/>
      <top/>
      <bottom/>
      <diagonal/>
    </border>
    <border>
      <left/>
      <right style="thick">
        <color rgb="FFD9BBD8"/>
      </right>
      <top/>
      <bottom/>
      <diagonal/>
    </border>
    <border>
      <left style="thick">
        <color rgb="FFD9BBD8"/>
      </left>
      <right/>
      <top/>
      <bottom style="thick">
        <color rgb="FFD9BBD8"/>
      </bottom>
      <diagonal/>
    </border>
    <border>
      <left/>
      <right/>
      <top/>
      <bottom style="thick">
        <color rgb="FFD9BBD8"/>
      </bottom>
      <diagonal/>
    </border>
    <border>
      <left/>
      <right style="thick">
        <color rgb="FFD9BBD8"/>
      </right>
      <top/>
      <bottom style="thick">
        <color rgb="FFD9BBD8"/>
      </bottom>
      <diagonal/>
    </border>
    <border>
      <left style="thick">
        <color rgb="FF88DEFF"/>
      </left>
      <right/>
      <top style="thick">
        <color rgb="FF88DEFF"/>
      </top>
      <bottom/>
      <diagonal/>
    </border>
    <border>
      <left/>
      <right/>
      <top style="thick">
        <color rgb="FF88DEFF"/>
      </top>
      <bottom/>
      <diagonal/>
    </border>
    <border>
      <left/>
      <right style="thick">
        <color rgb="FF88DEFF"/>
      </right>
      <top style="thick">
        <color rgb="FF88DEFF"/>
      </top>
      <bottom/>
      <diagonal/>
    </border>
    <border>
      <left style="thick">
        <color rgb="FF88DEFF"/>
      </left>
      <right/>
      <top/>
      <bottom/>
      <diagonal/>
    </border>
    <border>
      <left/>
      <right style="thick">
        <color rgb="FF88DEFF"/>
      </right>
      <top/>
      <bottom/>
      <diagonal/>
    </border>
    <border>
      <left style="thick">
        <color rgb="FF88DEFF"/>
      </left>
      <right/>
      <top/>
      <bottom style="thick">
        <color rgb="FF88DEFF"/>
      </bottom>
      <diagonal/>
    </border>
    <border>
      <left/>
      <right/>
      <top/>
      <bottom style="thick">
        <color rgb="FF88DEFF"/>
      </bottom>
      <diagonal/>
    </border>
    <border>
      <left/>
      <right style="thick">
        <color rgb="FF88DEFF"/>
      </right>
      <top/>
      <bottom style="thick">
        <color rgb="FF88DEFF"/>
      </bottom>
      <diagonal/>
    </border>
    <border>
      <left style="thick">
        <color rgb="FFF1A0BD"/>
      </left>
      <right/>
      <top style="thick">
        <color rgb="FFF1A0BD"/>
      </top>
      <bottom/>
      <diagonal/>
    </border>
    <border>
      <left/>
      <right/>
      <top style="thick">
        <color rgb="FFF1A0BD"/>
      </top>
      <bottom/>
      <diagonal/>
    </border>
    <border>
      <left/>
      <right style="thick">
        <color rgb="FFF1A0BD"/>
      </right>
      <top style="thick">
        <color rgb="FFF1A0BD"/>
      </top>
      <bottom/>
      <diagonal/>
    </border>
    <border>
      <left style="thick">
        <color rgb="FFF1A0BD"/>
      </left>
      <right/>
      <top/>
      <bottom/>
      <diagonal/>
    </border>
    <border>
      <left/>
      <right style="thick">
        <color rgb="FFF1A0BD"/>
      </right>
      <top/>
      <bottom/>
      <diagonal/>
    </border>
    <border>
      <left style="thick">
        <color rgb="FFF1A0BD"/>
      </left>
      <right/>
      <top/>
      <bottom style="thick">
        <color rgb="FFF1A0BD"/>
      </bottom>
      <diagonal/>
    </border>
    <border>
      <left/>
      <right/>
      <top/>
      <bottom style="thick">
        <color rgb="FFF1A0BD"/>
      </bottom>
      <diagonal/>
    </border>
    <border>
      <left/>
      <right style="thick">
        <color rgb="FFF1A0BD"/>
      </right>
      <top/>
      <bottom style="thick">
        <color rgb="FFF1A0BD"/>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rgb="FFBCE4A7"/>
      </left>
      <right/>
      <top style="thick">
        <color rgb="FFBCE4A7"/>
      </top>
      <bottom/>
      <diagonal/>
    </border>
    <border>
      <left/>
      <right/>
      <top style="thick">
        <color rgb="FFBCE4A7"/>
      </top>
      <bottom/>
      <diagonal/>
    </border>
    <border>
      <left/>
      <right style="thick">
        <color rgb="FFBCE4A7"/>
      </right>
      <top style="thick">
        <color rgb="FFBCE4A7"/>
      </top>
      <bottom/>
      <diagonal/>
    </border>
    <border>
      <left style="thick">
        <color rgb="FFBCE4A7"/>
      </left>
      <right/>
      <top/>
      <bottom/>
      <diagonal/>
    </border>
    <border>
      <left/>
      <right style="thick">
        <color rgb="FFBCE4A7"/>
      </right>
      <top/>
      <bottom/>
      <diagonal/>
    </border>
    <border>
      <left style="thick">
        <color rgb="FFBCE4A7"/>
      </left>
      <right/>
      <top/>
      <bottom style="thick">
        <color rgb="FFBCE4A7"/>
      </bottom>
      <diagonal/>
    </border>
    <border>
      <left/>
      <right/>
      <top/>
      <bottom style="thick">
        <color rgb="FFBCE4A7"/>
      </bottom>
      <diagonal/>
    </border>
    <border>
      <left/>
      <right style="thick">
        <color rgb="FFBCE4A7"/>
      </right>
      <top/>
      <bottom style="thick">
        <color rgb="FFBCE4A7"/>
      </bottom>
      <diagonal/>
    </border>
    <border>
      <left style="thick">
        <color rgb="FFBCE4A7"/>
      </left>
      <right/>
      <top style="thick">
        <color rgb="FFBCE4A7"/>
      </top>
      <bottom style="thick">
        <color rgb="FFBCE4A7"/>
      </bottom>
      <diagonal/>
    </border>
    <border>
      <left/>
      <right/>
      <top style="thick">
        <color rgb="FFBCE4A7"/>
      </top>
      <bottom style="thick">
        <color rgb="FFBCE4A7"/>
      </bottom>
      <diagonal/>
    </border>
    <border>
      <left/>
      <right style="thick">
        <color rgb="FFBCE4A7"/>
      </right>
      <top style="thick">
        <color rgb="FFBCE4A7"/>
      </top>
      <bottom style="thick">
        <color rgb="FFBCE4A7"/>
      </bottom>
      <diagonal/>
    </border>
    <border>
      <left style="thick">
        <color rgb="FFBCE4A7"/>
      </left>
      <right/>
      <top/>
      <bottom style="double">
        <color indexed="64"/>
      </bottom>
      <diagonal/>
    </border>
    <border>
      <left/>
      <right/>
      <top/>
      <bottom style="thin">
        <color theme="9"/>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tted">
        <color theme="2"/>
      </top>
      <bottom style="dotted">
        <color theme="2"/>
      </bottom>
      <diagonal/>
    </border>
    <border>
      <left/>
      <right style="medium">
        <color indexed="64"/>
      </right>
      <top style="dotted">
        <color theme="2"/>
      </top>
      <bottom style="dotted">
        <color theme="2"/>
      </bottom>
      <diagonal/>
    </border>
    <border>
      <left style="medium">
        <color indexed="64"/>
      </left>
      <right/>
      <top/>
      <bottom style="dotted">
        <color theme="2"/>
      </bottom>
      <diagonal/>
    </border>
    <border>
      <left/>
      <right/>
      <top/>
      <bottom style="dotted">
        <color theme="2"/>
      </bottom>
      <diagonal/>
    </border>
    <border>
      <left/>
      <right style="medium">
        <color indexed="64"/>
      </right>
      <top/>
      <bottom style="dotted">
        <color theme="2"/>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ck">
        <color rgb="FFFFD288"/>
      </left>
      <right style="thick">
        <color rgb="FFFFD288"/>
      </right>
      <top/>
      <bottom/>
      <diagonal/>
    </border>
    <border>
      <left style="thick">
        <color rgb="FFFFD288"/>
      </left>
      <right style="thick">
        <color rgb="FFFFD288"/>
      </right>
      <top/>
      <bottom style="thick">
        <color rgb="FFFFD288"/>
      </bottom>
      <diagonal/>
    </border>
    <border>
      <left style="thick">
        <color rgb="FF88DEFF"/>
      </left>
      <right style="thick">
        <color rgb="FF88DEFF"/>
      </right>
      <top style="thick">
        <color rgb="FF88DEFF"/>
      </top>
      <bottom/>
      <diagonal/>
    </border>
    <border>
      <left style="thick">
        <color rgb="FF88DEFF"/>
      </left>
      <right style="thick">
        <color rgb="FF88DEFF"/>
      </right>
      <top/>
      <bottom/>
      <diagonal/>
    </border>
    <border>
      <left style="thick">
        <color rgb="FF88DEFF"/>
      </left>
      <right style="thick">
        <color rgb="FF88DEFF"/>
      </right>
      <top/>
      <bottom style="thick">
        <color rgb="FF88DEFF"/>
      </bottom>
      <diagonal/>
    </border>
    <border>
      <left style="thick">
        <color rgb="FFBCE4A7"/>
      </left>
      <right style="thick">
        <color rgb="FFBCE4A7"/>
      </right>
      <top style="thick">
        <color rgb="FFBCE4A7"/>
      </top>
      <bottom/>
      <diagonal/>
    </border>
    <border>
      <left style="thick">
        <color rgb="FFBCE4A7"/>
      </left>
      <right style="thick">
        <color rgb="FFBCE4A7"/>
      </right>
      <top/>
      <bottom/>
      <diagonal/>
    </border>
    <border>
      <left style="thick">
        <color rgb="FFBCE4A7"/>
      </left>
      <right style="thick">
        <color rgb="FFBCE4A7"/>
      </right>
      <top/>
      <bottom style="thick">
        <color rgb="FFBCE4A7"/>
      </bottom>
      <diagonal/>
    </border>
    <border>
      <left style="thick">
        <color rgb="FFD9BBD8"/>
      </left>
      <right style="thick">
        <color rgb="FFD9BBD8"/>
      </right>
      <top style="thick">
        <color rgb="FFD9BBD8"/>
      </top>
      <bottom/>
      <diagonal/>
    </border>
    <border>
      <left style="thick">
        <color rgb="FFD9BBD8"/>
      </left>
      <right style="thick">
        <color rgb="FFD9BBD8"/>
      </right>
      <top/>
      <bottom/>
      <diagonal/>
    </border>
    <border>
      <left style="thick">
        <color rgb="FFD9BBD8"/>
      </left>
      <right style="thick">
        <color rgb="FFD9BBD8"/>
      </right>
      <top/>
      <bottom style="thick">
        <color rgb="FFD9BBD8"/>
      </bottom>
      <diagonal/>
    </border>
    <border>
      <left style="thick">
        <color rgb="FFF1A0BD"/>
      </left>
      <right style="thick">
        <color rgb="FFF1A0BD"/>
      </right>
      <top style="thick">
        <color rgb="FFF1A0BD"/>
      </top>
      <bottom/>
      <diagonal/>
    </border>
    <border>
      <left style="thick">
        <color rgb="FFF1A0BD"/>
      </left>
      <right style="thick">
        <color rgb="FFF1A0BD"/>
      </right>
      <top/>
      <bottom/>
      <diagonal/>
    </border>
    <border>
      <left style="thick">
        <color rgb="FFF1A0BD"/>
      </left>
      <right style="thick">
        <color rgb="FFF1A0BD"/>
      </right>
      <top/>
      <bottom style="thick">
        <color rgb="FFF1A0BD"/>
      </bottom>
      <diagonal/>
    </border>
    <border>
      <left style="thick">
        <color auto="1"/>
      </left>
      <right style="thick">
        <color indexed="64"/>
      </right>
      <top style="thick">
        <color auto="1"/>
      </top>
      <bottom style="thick">
        <color indexed="64"/>
      </bottom>
      <diagonal/>
    </border>
    <border>
      <left style="thick">
        <color auto="1"/>
      </left>
      <right style="thick">
        <color indexed="64"/>
      </right>
      <top/>
      <bottom/>
      <diagonal/>
    </border>
    <border>
      <left style="thick">
        <color auto="1"/>
      </left>
      <right style="thick">
        <color indexed="64"/>
      </right>
      <top/>
      <bottom style="thick">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top/>
      <bottom style="thick">
        <color rgb="FF85DFFF"/>
      </bottom>
      <diagonal/>
    </border>
    <border>
      <left/>
      <right/>
      <top style="thick">
        <color rgb="FF88DEFF"/>
      </top>
      <bottom style="thick">
        <color rgb="FF85DFFF"/>
      </bottom>
      <diagonal/>
    </border>
    <border>
      <left/>
      <right style="thick">
        <color rgb="FF85DFFF"/>
      </right>
      <top/>
      <bottom style="thick">
        <color rgb="FF85DFFF"/>
      </bottom>
      <diagonal/>
    </border>
    <border>
      <left/>
      <right style="thick">
        <color rgb="FF85DFFF"/>
      </right>
      <top/>
      <bottom/>
      <diagonal/>
    </border>
    <border>
      <left style="thick">
        <color rgb="FF85DFFF"/>
      </left>
      <right/>
      <top/>
      <bottom style="thick">
        <color rgb="FF85DFFF"/>
      </bottom>
      <diagonal/>
    </border>
    <border>
      <left style="thick">
        <color rgb="FFD9BBD8"/>
      </left>
      <right style="thick">
        <color rgb="FFBCE4A7"/>
      </right>
      <top/>
      <bottom/>
      <diagonal/>
    </border>
  </borders>
  <cellStyleXfs count="8">
    <xf numFmtId="0" fontId="0" fillId="0" borderId="0"/>
    <xf numFmtId="0" fontId="17" fillId="0" borderId="0"/>
    <xf numFmtId="9" fontId="17" fillId="0" borderId="0" applyFont="0" applyFill="0" applyBorder="0" applyAlignment="0" applyProtection="0"/>
    <xf numFmtId="0" fontId="24" fillId="0" borderId="0" applyNumberFormat="0" applyFill="0" applyBorder="0" applyAlignment="0" applyProtection="0"/>
    <xf numFmtId="44" fontId="25" fillId="0" borderId="0" applyFont="0" applyFill="0" applyBorder="0" applyAlignment="0" applyProtection="0"/>
    <xf numFmtId="168" fontId="25"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cellStyleXfs>
  <cellXfs count="1023">
    <xf numFmtId="0" fontId="0" fillId="0" borderId="0" xfId="0"/>
    <xf numFmtId="0" fontId="0" fillId="2" borderId="0" xfId="0" applyFill="1"/>
    <xf numFmtId="0" fontId="17" fillId="0" borderId="0" xfId="1"/>
    <xf numFmtId="0" fontId="0" fillId="2" borderId="0" xfId="0" applyFill="1" applyAlignment="1">
      <alignment wrapText="1"/>
    </xf>
    <xf numFmtId="2" fontId="17" fillId="0" borderId="0" xfId="1" applyNumberFormat="1"/>
    <xf numFmtId="166" fontId="17" fillId="0" borderId="0" xfId="1" applyNumberFormat="1"/>
    <xf numFmtId="0" fontId="21" fillId="2" borderId="0" xfId="1" applyFont="1" applyFill="1"/>
    <xf numFmtId="0" fontId="17" fillId="2" borderId="0" xfId="1" applyFill="1"/>
    <xf numFmtId="0" fontId="27" fillId="2" borderId="0" xfId="1" applyFont="1" applyFill="1"/>
    <xf numFmtId="0" fontId="26" fillId="2" borderId="0" xfId="1" applyFont="1" applyFill="1" applyAlignment="1">
      <alignment horizontal="center"/>
    </xf>
    <xf numFmtId="164" fontId="26" fillId="2" borderId="0" xfId="1" applyNumberFormat="1" applyFont="1" applyFill="1" applyAlignment="1">
      <alignment horizontal="center"/>
    </xf>
    <xf numFmtId="0" fontId="17" fillId="6" borderId="18" xfId="1" applyFill="1" applyBorder="1" applyProtection="1">
      <protection locked="0"/>
    </xf>
    <xf numFmtId="166" fontId="17" fillId="6" borderId="18" xfId="1" applyNumberFormat="1" applyFill="1" applyBorder="1" applyProtection="1">
      <protection locked="0"/>
    </xf>
    <xf numFmtId="0" fontId="17" fillId="0" borderId="0" xfId="1" applyAlignment="1">
      <alignment wrapText="1"/>
    </xf>
    <xf numFmtId="0" fontId="17" fillId="2" borderId="0" xfId="1" applyFill="1" applyAlignment="1">
      <alignment horizontal="left" vertical="center" wrapText="1"/>
    </xf>
    <xf numFmtId="0" fontId="17" fillId="2" borderId="10" xfId="1" applyFill="1" applyBorder="1"/>
    <xf numFmtId="0" fontId="17" fillId="2" borderId="11" xfId="1" applyFill="1" applyBorder="1"/>
    <xf numFmtId="0" fontId="17" fillId="2" borderId="12" xfId="1" applyFill="1" applyBorder="1"/>
    <xf numFmtId="0" fontId="18" fillId="2" borderId="13" xfId="1" applyFont="1" applyFill="1" applyBorder="1"/>
    <xf numFmtId="0" fontId="17" fillId="2" borderId="10" xfId="1" applyFill="1" applyBorder="1" applyAlignment="1">
      <alignment horizontal="left" vertical="center" wrapText="1"/>
    </xf>
    <xf numFmtId="0" fontId="20" fillId="2" borderId="11" xfId="1" applyFont="1" applyFill="1" applyBorder="1"/>
    <xf numFmtId="0" fontId="20" fillId="2" borderId="12" xfId="1" applyFont="1" applyFill="1" applyBorder="1"/>
    <xf numFmtId="0" fontId="17" fillId="2" borderId="0" xfId="1" applyFill="1" applyAlignment="1">
      <alignment horizontal="right" vertical="center" wrapText="1"/>
    </xf>
    <xf numFmtId="0" fontId="17" fillId="2" borderId="16" xfId="1" applyFill="1" applyBorder="1"/>
    <xf numFmtId="0" fontId="17" fillId="2" borderId="17" xfId="1" applyFill="1" applyBorder="1"/>
    <xf numFmtId="0" fontId="20" fillId="2" borderId="17" xfId="1" applyFont="1" applyFill="1" applyBorder="1"/>
    <xf numFmtId="0" fontId="20" fillId="2" borderId="16" xfId="1" applyFont="1" applyFill="1" applyBorder="1"/>
    <xf numFmtId="0" fontId="20" fillId="2" borderId="0" xfId="1" applyFont="1" applyFill="1"/>
    <xf numFmtId="0" fontId="20" fillId="2" borderId="0" xfId="1" applyFont="1" applyFill="1" applyAlignment="1">
      <alignment wrapText="1"/>
    </xf>
    <xf numFmtId="0" fontId="19" fillId="2" borderId="0" xfId="1" applyFont="1" applyFill="1"/>
    <xf numFmtId="0" fontId="19" fillId="2" borderId="17" xfId="1" applyFont="1" applyFill="1" applyBorder="1"/>
    <xf numFmtId="0" fontId="17" fillId="2" borderId="13" xfId="1" applyFill="1" applyBorder="1"/>
    <xf numFmtId="0" fontId="17" fillId="2" borderId="14" xfId="1" applyFill="1" applyBorder="1"/>
    <xf numFmtId="0" fontId="17" fillId="2" borderId="15" xfId="1" applyFill="1" applyBorder="1"/>
    <xf numFmtId="0" fontId="19" fillId="2" borderId="14" xfId="1" applyFont="1" applyFill="1" applyBorder="1"/>
    <xf numFmtId="0" fontId="19" fillId="2" borderId="15" xfId="1" applyFont="1" applyFill="1" applyBorder="1"/>
    <xf numFmtId="0" fontId="20" fillId="2" borderId="10" xfId="1" applyFont="1" applyFill="1" applyBorder="1"/>
    <xf numFmtId="0" fontId="18" fillId="2" borderId="0" xfId="1" applyFont="1" applyFill="1"/>
    <xf numFmtId="0" fontId="21" fillId="2" borderId="14" xfId="1" applyFont="1" applyFill="1" applyBorder="1"/>
    <xf numFmtId="0" fontId="31" fillId="2" borderId="17" xfId="1" applyFont="1" applyFill="1" applyBorder="1" applyAlignment="1">
      <alignment horizontal="right"/>
    </xf>
    <xf numFmtId="0" fontId="31" fillId="2" borderId="0" xfId="1" applyFont="1" applyFill="1" applyAlignment="1">
      <alignment horizontal="right"/>
    </xf>
    <xf numFmtId="0" fontId="31" fillId="2" borderId="17" xfId="1" applyFont="1" applyFill="1" applyBorder="1"/>
    <xf numFmtId="0" fontId="31" fillId="2" borderId="0" xfId="1" applyFont="1" applyFill="1"/>
    <xf numFmtId="0" fontId="19" fillId="2" borderId="21" xfId="1" applyFont="1" applyFill="1" applyBorder="1"/>
    <xf numFmtId="0" fontId="18" fillId="2" borderId="13" xfId="1" applyFont="1" applyFill="1" applyBorder="1" applyAlignment="1">
      <alignment horizontal="left" vertical="center" wrapText="1"/>
    </xf>
    <xf numFmtId="0" fontId="23" fillId="0" borderId="0" xfId="1" applyFont="1" applyAlignment="1">
      <alignment wrapText="1"/>
    </xf>
    <xf numFmtId="0" fontId="33" fillId="0" borderId="0" xfId="3" applyFont="1" applyFill="1" applyAlignment="1" applyProtection="1">
      <alignment wrapText="1"/>
    </xf>
    <xf numFmtId="0" fontId="17" fillId="0" borderId="0" xfId="1" applyProtection="1">
      <protection locked="0"/>
    </xf>
    <xf numFmtId="0" fontId="33" fillId="0" borderId="0" xfId="3" applyFont="1" applyFill="1" applyBorder="1" applyAlignment="1" applyProtection="1">
      <alignment wrapText="1"/>
    </xf>
    <xf numFmtId="0" fontId="33" fillId="0" borderId="0" xfId="3" applyFont="1" applyFill="1" applyBorder="1" applyAlignment="1" applyProtection="1">
      <alignment horizontal="left" vertical="center" wrapText="1"/>
    </xf>
    <xf numFmtId="16" fontId="36" fillId="2" borderId="0" xfId="0" quotePrefix="1" applyNumberFormat="1" applyFont="1" applyFill="1" applyAlignment="1">
      <alignment wrapText="1"/>
    </xf>
    <xf numFmtId="0" fontId="21" fillId="0" borderId="0" xfId="1" applyFont="1"/>
    <xf numFmtId="0" fontId="30" fillId="2" borderId="0" xfId="1" applyFont="1" applyFill="1" applyAlignment="1">
      <alignment horizontal="center" vertical="center" wrapText="1"/>
    </xf>
    <xf numFmtId="0" fontId="16" fillId="0" borderId="0" xfId="1" applyFont="1"/>
    <xf numFmtId="0" fontId="16" fillId="2" borderId="0" xfId="1" applyFont="1" applyFill="1"/>
    <xf numFmtId="0" fontId="16" fillId="2" borderId="0" xfId="0" applyFont="1" applyFill="1"/>
    <xf numFmtId="0" fontId="40" fillId="2" borderId="0" xfId="0" applyFont="1" applyFill="1" applyAlignment="1">
      <alignment horizontal="center" vertical="center"/>
    </xf>
    <xf numFmtId="0" fontId="40" fillId="2" borderId="0" xfId="0" applyFont="1" applyFill="1" applyAlignment="1">
      <alignment horizontal="center" vertical="center" wrapText="1"/>
    </xf>
    <xf numFmtId="0" fontId="16" fillId="2" borderId="0" xfId="0" applyFont="1" applyFill="1" applyAlignment="1">
      <alignment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1" fillId="2" borderId="0" xfId="0" applyFont="1" applyFill="1"/>
    <xf numFmtId="0" fontId="20" fillId="2" borderId="0" xfId="0" applyFont="1" applyFill="1" applyAlignment="1">
      <alignment vertical="center" wrapText="1"/>
    </xf>
    <xf numFmtId="0" fontId="39" fillId="2" borderId="0" xfId="0" applyFont="1" applyFill="1" applyAlignment="1">
      <alignment vertical="center"/>
    </xf>
    <xf numFmtId="0" fontId="31" fillId="2" borderId="0" xfId="0" applyFont="1" applyFill="1"/>
    <xf numFmtId="0" fontId="31" fillId="2" borderId="0" xfId="0" applyFont="1" applyFill="1" applyAlignment="1">
      <alignment horizontal="left"/>
    </xf>
    <xf numFmtId="44" fontId="31" fillId="2" borderId="0" xfId="4" applyFont="1" applyFill="1" applyBorder="1" applyProtection="1"/>
    <xf numFmtId="0" fontId="41" fillId="2" borderId="0" xfId="0" applyFont="1" applyFill="1" applyAlignment="1">
      <alignment vertical="center"/>
    </xf>
    <xf numFmtId="0" fontId="38" fillId="2" borderId="0" xfId="1" applyFont="1" applyFill="1" applyAlignment="1">
      <alignment vertical="center" wrapText="1"/>
    </xf>
    <xf numFmtId="0" fontId="48" fillId="2" borderId="0" xfId="1" applyFont="1" applyFill="1"/>
    <xf numFmtId="0" fontId="40" fillId="2" borderId="0" xfId="0" applyFont="1" applyFill="1" applyAlignment="1">
      <alignment vertical="center"/>
    </xf>
    <xf numFmtId="0" fontId="20" fillId="2" borderId="0" xfId="0" applyFont="1" applyFill="1"/>
    <xf numFmtId="0" fontId="20" fillId="2" borderId="4" xfId="0" applyFont="1" applyFill="1" applyBorder="1"/>
    <xf numFmtId="0" fontId="16" fillId="2" borderId="0" xfId="0" applyFont="1" applyFill="1" applyAlignment="1">
      <alignment horizontal="left"/>
    </xf>
    <xf numFmtId="0" fontId="28" fillId="2" borderId="0" xfId="1" applyFont="1" applyFill="1"/>
    <xf numFmtId="10" fontId="20" fillId="2" borderId="0" xfId="1" applyNumberFormat="1" applyFont="1" applyFill="1" applyAlignment="1">
      <alignment wrapText="1"/>
    </xf>
    <xf numFmtId="0" fontId="20" fillId="2" borderId="0" xfId="1" applyFont="1" applyFill="1" applyAlignment="1">
      <alignment horizontal="right"/>
    </xf>
    <xf numFmtId="0" fontId="20" fillId="2" borderId="14" xfId="1" applyFont="1" applyFill="1" applyBorder="1" applyAlignment="1">
      <alignment horizontal="right"/>
    </xf>
    <xf numFmtId="0" fontId="16" fillId="0" borderId="0" xfId="0" applyFont="1"/>
    <xf numFmtId="0" fontId="28" fillId="7" borderId="0" xfId="1" applyFont="1" applyFill="1"/>
    <xf numFmtId="0" fontId="27" fillId="2" borderId="0" xfId="0" applyFont="1" applyFill="1"/>
    <xf numFmtId="0" fontId="27" fillId="2" borderId="0" xfId="0" applyFont="1" applyFill="1" applyAlignment="1">
      <alignment wrapText="1"/>
    </xf>
    <xf numFmtId="0" fontId="46" fillId="2" borderId="0" xfId="0" applyFont="1" applyFill="1"/>
    <xf numFmtId="0" fontId="50" fillId="2" borderId="0" xfId="0" applyFont="1" applyFill="1" applyAlignment="1">
      <alignment wrapText="1"/>
    </xf>
    <xf numFmtId="0" fontId="50" fillId="2" borderId="0" xfId="0" applyFont="1" applyFill="1"/>
    <xf numFmtId="0" fontId="47" fillId="2" borderId="0" xfId="0" applyFont="1" applyFill="1"/>
    <xf numFmtId="0" fontId="50" fillId="2" borderId="9" xfId="0" applyFont="1" applyFill="1" applyBorder="1"/>
    <xf numFmtId="0" fontId="50" fillId="2" borderId="0" xfId="0" applyFont="1" applyFill="1" applyAlignment="1">
      <alignment horizontal="center" wrapText="1"/>
    </xf>
    <xf numFmtId="0" fontId="16" fillId="2" borderId="0" xfId="0" applyFont="1" applyFill="1" applyAlignment="1">
      <alignment vertical="center"/>
    </xf>
    <xf numFmtId="0" fontId="20" fillId="2" borderId="0" xfId="0" applyFont="1" applyFill="1" applyAlignment="1">
      <alignment vertical="center"/>
    </xf>
    <xf numFmtId="0" fontId="51" fillId="2" borderId="0" xfId="0" applyFont="1" applyFill="1" applyAlignment="1">
      <alignment horizontal="center"/>
    </xf>
    <xf numFmtId="0" fontId="50" fillId="2" borderId="0" xfId="0" applyFont="1" applyFill="1" applyAlignment="1">
      <alignment vertical="center"/>
    </xf>
    <xf numFmtId="0" fontId="50" fillId="2" borderId="0" xfId="0" applyFont="1" applyFill="1" applyAlignment="1">
      <alignment horizontal="center" vertical="center" wrapText="1"/>
    </xf>
    <xf numFmtId="0" fontId="52" fillId="0" borderId="0" xfId="0" applyFont="1"/>
    <xf numFmtId="0" fontId="41" fillId="0" borderId="0" xfId="1" applyFont="1" applyAlignment="1">
      <alignment vertical="center"/>
    </xf>
    <xf numFmtId="0" fontId="54" fillId="2" borderId="0" xfId="0" applyFont="1" applyFill="1"/>
    <xf numFmtId="0" fontId="17" fillId="6" borderId="18" xfId="1" applyFill="1" applyBorder="1" applyAlignment="1" applyProtection="1">
      <alignment wrapText="1"/>
      <protection locked="0"/>
    </xf>
    <xf numFmtId="2" fontId="17" fillId="6" borderId="18" xfId="1" applyNumberFormat="1" applyFill="1" applyBorder="1" applyAlignment="1" applyProtection="1">
      <alignment wrapText="1"/>
      <protection locked="0"/>
    </xf>
    <xf numFmtId="0" fontId="17" fillId="6" borderId="18" xfId="1" applyFill="1" applyBorder="1"/>
    <xf numFmtId="0" fontId="23" fillId="6" borderId="18" xfId="1" applyFont="1" applyFill="1" applyBorder="1" applyAlignment="1">
      <alignment wrapText="1"/>
    </xf>
    <xf numFmtId="0" fontId="24" fillId="0" borderId="0" xfId="3" applyFill="1" applyBorder="1"/>
    <xf numFmtId="0" fontId="20" fillId="0" borderId="0" xfId="1" applyFont="1"/>
    <xf numFmtId="0" fontId="33" fillId="0" borderId="0" xfId="3" applyFont="1" applyFill="1" applyBorder="1"/>
    <xf numFmtId="0" fontId="33" fillId="0" borderId="0" xfId="3" applyFont="1"/>
    <xf numFmtId="0" fontId="33" fillId="0" borderId="0" xfId="3" applyFont="1" applyFill="1"/>
    <xf numFmtId="0" fontId="33" fillId="0" borderId="0" xfId="3" applyFont="1" applyBorder="1"/>
    <xf numFmtId="2" fontId="17" fillId="0" borderId="0" xfId="1" applyNumberFormat="1" applyProtection="1">
      <protection locked="0"/>
    </xf>
    <xf numFmtId="2" fontId="17" fillId="6" borderId="18" xfId="1" applyNumberFormat="1" applyFill="1" applyBorder="1" applyProtection="1">
      <protection locked="0"/>
    </xf>
    <xf numFmtId="0" fontId="20" fillId="0" borderId="0" xfId="1" applyFont="1" applyAlignment="1">
      <alignment horizontal="center" vertical="center" textRotation="255"/>
    </xf>
    <xf numFmtId="0" fontId="37" fillId="2" borderId="0" xfId="0" applyFont="1" applyFill="1"/>
    <xf numFmtId="0" fontId="21" fillId="2" borderId="33" xfId="0" applyFont="1" applyFill="1" applyBorder="1"/>
    <xf numFmtId="0" fontId="21" fillId="2" borderId="35" xfId="0" applyFont="1" applyFill="1" applyBorder="1"/>
    <xf numFmtId="0" fontId="22" fillId="0" borderId="0" xfId="0" applyFont="1"/>
    <xf numFmtId="2" fontId="22" fillId="0" borderId="0" xfId="0" applyNumberFormat="1" applyFont="1"/>
    <xf numFmtId="2" fontId="22" fillId="0" borderId="0" xfId="0" applyNumberFormat="1" applyFont="1" applyAlignment="1">
      <alignment wrapText="1"/>
    </xf>
    <xf numFmtId="0" fontId="59" fillId="2" borderId="0" xfId="0" applyFont="1" applyFill="1" applyAlignment="1">
      <alignment horizontal="center" wrapText="1"/>
    </xf>
    <xf numFmtId="0" fontId="21" fillId="2" borderId="0" xfId="0" applyFont="1" applyFill="1" applyAlignment="1">
      <alignment wrapText="1"/>
    </xf>
    <xf numFmtId="0" fontId="59" fillId="2" borderId="0" xfId="0" applyFont="1" applyFill="1" applyAlignment="1">
      <alignment wrapText="1"/>
    </xf>
    <xf numFmtId="0" fontId="59" fillId="2" borderId="9" xfId="0" applyFont="1" applyFill="1" applyBorder="1" applyAlignment="1">
      <alignment wrapText="1"/>
    </xf>
    <xf numFmtId="0" fontId="20" fillId="2" borderId="17" xfId="1" applyFont="1" applyFill="1" applyBorder="1" applyAlignment="1">
      <alignment horizontal="right"/>
    </xf>
    <xf numFmtId="0" fontId="21" fillId="2" borderId="5" xfId="0" applyFont="1" applyFill="1" applyBorder="1"/>
    <xf numFmtId="0" fontId="21" fillId="2" borderId="5" xfId="0" applyFont="1" applyFill="1" applyBorder="1" applyAlignment="1">
      <alignment wrapText="1"/>
    </xf>
    <xf numFmtId="0" fontId="21" fillId="2" borderId="8" xfId="0" applyFont="1" applyFill="1" applyBorder="1"/>
    <xf numFmtId="0" fontId="42" fillId="10" borderId="40" xfId="0" applyFont="1" applyFill="1" applyBorder="1"/>
    <xf numFmtId="0" fontId="27" fillId="10" borderId="41" xfId="0" applyFont="1" applyFill="1" applyBorder="1"/>
    <xf numFmtId="0" fontId="27" fillId="10" borderId="42" xfId="0" applyFont="1" applyFill="1" applyBorder="1"/>
    <xf numFmtId="0" fontId="43" fillId="11" borderId="49" xfId="0" applyFont="1" applyFill="1" applyBorder="1"/>
    <xf numFmtId="0" fontId="21" fillId="2" borderId="52" xfId="0" applyFont="1" applyFill="1" applyBorder="1"/>
    <xf numFmtId="0" fontId="21" fillId="2" borderId="53" xfId="0" applyFont="1" applyFill="1" applyBorder="1"/>
    <xf numFmtId="0" fontId="21" fillId="2" borderId="54" xfId="0" applyFont="1" applyFill="1" applyBorder="1"/>
    <xf numFmtId="0" fontId="21" fillId="2" borderId="55" xfId="0" applyFont="1" applyFill="1" applyBorder="1"/>
    <xf numFmtId="0" fontId="21" fillId="2" borderId="56" xfId="0" applyFont="1" applyFill="1" applyBorder="1"/>
    <xf numFmtId="0" fontId="27" fillId="11" borderId="50" xfId="0" applyFont="1" applyFill="1" applyBorder="1"/>
    <xf numFmtId="0" fontId="27" fillId="11" borderId="51" xfId="0" applyFont="1" applyFill="1" applyBorder="1"/>
    <xf numFmtId="0" fontId="43" fillId="12" borderId="57" xfId="0" applyFont="1" applyFill="1" applyBorder="1"/>
    <xf numFmtId="0" fontId="21" fillId="12" borderId="58" xfId="0" applyFont="1" applyFill="1" applyBorder="1"/>
    <xf numFmtId="0" fontId="21" fillId="12" borderId="59" xfId="0" applyFont="1" applyFill="1" applyBorder="1"/>
    <xf numFmtId="0" fontId="21" fillId="2" borderId="61" xfId="0" applyFont="1" applyFill="1" applyBorder="1"/>
    <xf numFmtId="0" fontId="21" fillId="2" borderId="63" xfId="0" applyFont="1" applyFill="1" applyBorder="1"/>
    <xf numFmtId="0" fontId="21" fillId="2" borderId="64" xfId="0" applyFont="1" applyFill="1" applyBorder="1"/>
    <xf numFmtId="10" fontId="21" fillId="12" borderId="0" xfId="1" applyNumberFormat="1" applyFont="1" applyFill="1"/>
    <xf numFmtId="1" fontId="21" fillId="12" borderId="14" xfId="1" applyNumberFormat="1" applyFont="1" applyFill="1" applyBorder="1"/>
    <xf numFmtId="0" fontId="21" fillId="2" borderId="60" xfId="0" applyFont="1" applyFill="1" applyBorder="1"/>
    <xf numFmtId="0" fontId="21" fillId="2" borderId="62" xfId="0" applyFont="1" applyFill="1" applyBorder="1"/>
    <xf numFmtId="0" fontId="29" fillId="12" borderId="0" xfId="1" applyFont="1" applyFill="1" applyAlignment="1">
      <alignment wrapText="1"/>
    </xf>
    <xf numFmtId="0" fontId="27" fillId="12" borderId="0" xfId="1" applyFont="1" applyFill="1"/>
    <xf numFmtId="0" fontId="21" fillId="12" borderId="0" xfId="1" applyFont="1" applyFill="1"/>
    <xf numFmtId="0" fontId="59" fillId="2" borderId="0" xfId="0" applyFont="1" applyFill="1" applyAlignment="1">
      <alignment vertical="center"/>
    </xf>
    <xf numFmtId="0" fontId="59" fillId="2" borderId="0" xfId="0" applyFont="1" applyFill="1" applyAlignment="1">
      <alignment vertical="center" wrapText="1"/>
    </xf>
    <xf numFmtId="0" fontId="43" fillId="13" borderId="65" xfId="0" applyFont="1" applyFill="1" applyBorder="1"/>
    <xf numFmtId="0" fontId="21" fillId="2" borderId="68" xfId="0" applyFont="1" applyFill="1" applyBorder="1"/>
    <xf numFmtId="0" fontId="21" fillId="2" borderId="69" xfId="0" applyFont="1" applyFill="1" applyBorder="1"/>
    <xf numFmtId="0" fontId="21" fillId="2" borderId="70" xfId="0" applyFont="1" applyFill="1" applyBorder="1"/>
    <xf numFmtId="0" fontId="21" fillId="2" borderId="71" xfId="0" applyFont="1" applyFill="1" applyBorder="1"/>
    <xf numFmtId="0" fontId="21" fillId="2" borderId="72" xfId="0" applyFont="1" applyFill="1" applyBorder="1"/>
    <xf numFmtId="0" fontId="21" fillId="13" borderId="66" xfId="0" applyFont="1" applyFill="1" applyBorder="1"/>
    <xf numFmtId="0" fontId="21" fillId="13" borderId="67" xfId="0" applyFont="1" applyFill="1" applyBorder="1"/>
    <xf numFmtId="0" fontId="21" fillId="13" borderId="0" xfId="1" applyFont="1" applyFill="1"/>
    <xf numFmtId="0" fontId="17" fillId="13" borderId="0" xfId="1" applyFill="1"/>
    <xf numFmtId="0" fontId="33" fillId="14" borderId="0" xfId="3" applyFont="1" applyFill="1" applyAlignment="1" applyProtection="1">
      <alignment wrapText="1"/>
    </xf>
    <xf numFmtId="0" fontId="43" fillId="2" borderId="73" xfId="0" applyFont="1" applyFill="1" applyBorder="1"/>
    <xf numFmtId="0" fontId="21" fillId="2" borderId="74" xfId="0" applyFont="1" applyFill="1" applyBorder="1"/>
    <xf numFmtId="0" fontId="21" fillId="2" borderId="75" xfId="0" applyFont="1" applyFill="1" applyBorder="1"/>
    <xf numFmtId="0" fontId="27" fillId="2" borderId="33" xfId="0" applyFont="1" applyFill="1" applyBorder="1"/>
    <xf numFmtId="0" fontId="27" fillId="2" borderId="34" xfId="0" applyFont="1" applyFill="1" applyBorder="1"/>
    <xf numFmtId="0" fontId="27" fillId="2" borderId="36" xfId="0" applyFont="1" applyFill="1" applyBorder="1"/>
    <xf numFmtId="0" fontId="27" fillId="2" borderId="37" xfId="0" applyFont="1" applyFill="1" applyBorder="1"/>
    <xf numFmtId="0" fontId="18" fillId="13" borderId="15" xfId="1" applyFont="1" applyFill="1" applyBorder="1"/>
    <xf numFmtId="0" fontId="42" fillId="2" borderId="79" xfId="0" applyFont="1" applyFill="1" applyBorder="1"/>
    <xf numFmtId="0" fontId="37" fillId="2" borderId="79" xfId="0" applyFont="1" applyFill="1" applyBorder="1"/>
    <xf numFmtId="0" fontId="21" fillId="2" borderId="79" xfId="0" applyFont="1" applyFill="1" applyBorder="1"/>
    <xf numFmtId="0" fontId="42" fillId="16" borderId="76" xfId="0" applyFont="1" applyFill="1" applyBorder="1"/>
    <xf numFmtId="0" fontId="27" fillId="16" borderId="76" xfId="0" applyFont="1" applyFill="1" applyBorder="1"/>
    <xf numFmtId="0" fontId="27" fillId="16" borderId="77" xfId="0" applyFont="1" applyFill="1" applyBorder="1"/>
    <xf numFmtId="0" fontId="27" fillId="16" borderId="77" xfId="0" applyFont="1" applyFill="1" applyBorder="1" applyAlignment="1">
      <alignment wrapText="1"/>
    </xf>
    <xf numFmtId="0" fontId="46" fillId="16" borderId="77" xfId="0" applyFont="1" applyFill="1" applyBorder="1"/>
    <xf numFmtId="0" fontId="27" fillId="16" borderId="79" xfId="0" applyFont="1" applyFill="1" applyBorder="1"/>
    <xf numFmtId="0" fontId="27" fillId="16" borderId="81" xfId="0" applyFont="1" applyFill="1" applyBorder="1"/>
    <xf numFmtId="0" fontId="27" fillId="16" borderId="82" xfId="0" applyFont="1" applyFill="1" applyBorder="1"/>
    <xf numFmtId="0" fontId="27" fillId="16" borderId="82" xfId="0" applyFont="1" applyFill="1" applyBorder="1" applyAlignment="1">
      <alignment wrapText="1"/>
    </xf>
    <xf numFmtId="0" fontId="49" fillId="16" borderId="82" xfId="0" applyFont="1" applyFill="1" applyBorder="1"/>
    <xf numFmtId="0" fontId="21" fillId="16" borderId="76" xfId="0" applyFont="1" applyFill="1" applyBorder="1"/>
    <xf numFmtId="0" fontId="21" fillId="16" borderId="77" xfId="0" applyFont="1" applyFill="1" applyBorder="1"/>
    <xf numFmtId="0" fontId="21" fillId="16" borderId="77" xfId="0" applyFont="1" applyFill="1" applyBorder="1" applyAlignment="1">
      <alignment wrapText="1"/>
    </xf>
    <xf numFmtId="0" fontId="59" fillId="16" borderId="77" xfId="0" applyFont="1" applyFill="1" applyBorder="1"/>
    <xf numFmtId="0" fontId="21" fillId="16" borderId="79" xfId="0" applyFont="1" applyFill="1" applyBorder="1"/>
    <xf numFmtId="0" fontId="21" fillId="16" borderId="87" xfId="0" applyFont="1" applyFill="1" applyBorder="1"/>
    <xf numFmtId="0" fontId="21" fillId="16" borderId="81" xfId="0" applyFont="1" applyFill="1" applyBorder="1"/>
    <xf numFmtId="0" fontId="21" fillId="16" borderId="82" xfId="0" applyFont="1" applyFill="1" applyBorder="1"/>
    <xf numFmtId="0" fontId="21" fillId="16" borderId="82" xfId="0" applyFont="1" applyFill="1" applyBorder="1" applyAlignment="1">
      <alignment wrapText="1"/>
    </xf>
    <xf numFmtId="0" fontId="60" fillId="16" borderId="82" xfId="0" applyFont="1" applyFill="1" applyBorder="1"/>
    <xf numFmtId="0" fontId="21" fillId="16" borderId="0" xfId="1" applyFont="1" applyFill="1"/>
    <xf numFmtId="0" fontId="27" fillId="16" borderId="0" xfId="1" applyFont="1" applyFill="1"/>
    <xf numFmtId="0" fontId="21" fillId="5" borderId="79" xfId="0" applyFont="1" applyFill="1" applyBorder="1"/>
    <xf numFmtId="0" fontId="21" fillId="5" borderId="0" xfId="0" applyFont="1" applyFill="1"/>
    <xf numFmtId="0" fontId="53" fillId="2" borderId="0" xfId="1" applyFont="1" applyFill="1" applyAlignment="1">
      <alignment vertical="center"/>
    </xf>
    <xf numFmtId="0" fontId="41" fillId="2" borderId="0" xfId="0" applyFont="1" applyFill="1" applyAlignment="1">
      <alignment horizontal="left" vertical="top"/>
    </xf>
    <xf numFmtId="0" fontId="26" fillId="0" borderId="0" xfId="1" applyFont="1"/>
    <xf numFmtId="0" fontId="26" fillId="2" borderId="10" xfId="1" applyFont="1" applyFill="1" applyBorder="1"/>
    <xf numFmtId="0" fontId="21" fillId="2" borderId="11" xfId="1" applyFont="1" applyFill="1" applyBorder="1"/>
    <xf numFmtId="0" fontId="21" fillId="2" borderId="12" xfId="1" applyFont="1" applyFill="1" applyBorder="1"/>
    <xf numFmtId="0" fontId="23" fillId="2" borderId="0" xfId="1" applyFont="1" applyFill="1" applyAlignment="1">
      <alignment wrapText="1"/>
    </xf>
    <xf numFmtId="0" fontId="33" fillId="2" borderId="0" xfId="3" applyFont="1" applyFill="1"/>
    <xf numFmtId="0" fontId="33" fillId="2" borderId="0" xfId="3" applyFont="1" applyFill="1" applyAlignment="1" applyProtection="1">
      <alignment wrapText="1"/>
    </xf>
    <xf numFmtId="0" fontId="33" fillId="2" borderId="0" xfId="3" applyFont="1" applyFill="1" applyBorder="1"/>
    <xf numFmtId="0" fontId="17" fillId="2" borderId="21" xfId="1" applyFill="1" applyBorder="1"/>
    <xf numFmtId="0" fontId="26" fillId="13" borderId="20" xfId="1" applyFont="1" applyFill="1" applyBorder="1"/>
    <xf numFmtId="2" fontId="26" fillId="13" borderId="22" xfId="1" applyNumberFormat="1" applyFont="1" applyFill="1" applyBorder="1"/>
    <xf numFmtId="0" fontId="21" fillId="2" borderId="0" xfId="1" applyFont="1" applyFill="1" applyAlignment="1">
      <alignment vertical="center"/>
    </xf>
    <xf numFmtId="0" fontId="59" fillId="2" borderId="0" xfId="0" applyFont="1" applyFill="1"/>
    <xf numFmtId="2" fontId="17" fillId="13" borderId="17" xfId="1" applyNumberFormat="1" applyFill="1" applyBorder="1"/>
    <xf numFmtId="0" fontId="17" fillId="0" borderId="32" xfId="1" applyBorder="1" applyProtection="1">
      <protection locked="0"/>
    </xf>
    <xf numFmtId="2" fontId="17" fillId="0" borderId="32" xfId="1" applyNumberFormat="1" applyBorder="1" applyProtection="1">
      <protection locked="0"/>
    </xf>
    <xf numFmtId="0" fontId="20" fillId="0" borderId="32" xfId="1" applyFont="1" applyBorder="1"/>
    <xf numFmtId="0" fontId="20" fillId="0" borderId="0" xfId="1" applyFont="1" applyAlignment="1">
      <alignment vertical="center" textRotation="255"/>
    </xf>
    <xf numFmtId="0" fontId="20" fillId="10" borderId="31" xfId="0" applyFont="1" applyFill="1" applyBorder="1" applyAlignment="1">
      <alignment horizontal="center" vertical="center" wrapText="1"/>
    </xf>
    <xf numFmtId="0" fontId="31" fillId="2" borderId="0" xfId="0" applyFont="1" applyFill="1" applyAlignment="1">
      <alignment horizontal="right"/>
    </xf>
    <xf numFmtId="0" fontId="21" fillId="2" borderId="93" xfId="1" applyFont="1" applyFill="1" applyBorder="1"/>
    <xf numFmtId="0" fontId="21" fillId="0" borderId="32" xfId="1" applyFont="1" applyBorder="1"/>
    <xf numFmtId="0" fontId="21" fillId="15" borderId="38" xfId="1" applyFont="1" applyFill="1" applyBorder="1"/>
    <xf numFmtId="0" fontId="70" fillId="2" borderId="0" xfId="0" applyFont="1" applyFill="1" applyAlignment="1">
      <alignment wrapText="1"/>
    </xf>
    <xf numFmtId="0" fontId="71" fillId="2" borderId="20" xfId="0" applyFont="1" applyFill="1" applyBorder="1" applyAlignment="1">
      <alignment vertical="center" wrapText="1"/>
    </xf>
    <xf numFmtId="0" fontId="21" fillId="5" borderId="43" xfId="0" applyFont="1" applyFill="1" applyBorder="1"/>
    <xf numFmtId="0" fontId="21" fillId="2" borderId="0" xfId="0" applyFont="1" applyFill="1" applyAlignment="1">
      <alignment horizontal="right" vertical="center" wrapText="1"/>
    </xf>
    <xf numFmtId="9" fontId="21" fillId="2" borderId="0" xfId="7" applyFont="1" applyFill="1" applyAlignment="1">
      <alignment horizontal="center" vertical="center"/>
    </xf>
    <xf numFmtId="0" fontId="72" fillId="0" borderId="32" xfId="1" applyFont="1" applyBorder="1"/>
    <xf numFmtId="0" fontId="21" fillId="15" borderId="32" xfId="1" applyFont="1" applyFill="1" applyBorder="1"/>
    <xf numFmtId="0" fontId="21" fillId="9" borderId="32" xfId="1" applyFont="1" applyFill="1" applyBorder="1"/>
    <xf numFmtId="0" fontId="21" fillId="16" borderId="0" xfId="0" applyFont="1" applyFill="1"/>
    <xf numFmtId="0" fontId="26" fillId="2" borderId="0" xfId="0" applyFont="1" applyFill="1" applyAlignment="1">
      <alignment vertical="center"/>
    </xf>
    <xf numFmtId="0" fontId="21" fillId="2" borderId="0" xfId="0" applyFont="1" applyFill="1" applyAlignment="1">
      <alignment horizontal="center"/>
    </xf>
    <xf numFmtId="0" fontId="21" fillId="2" borderId="0" xfId="0" applyFont="1" applyFill="1" applyAlignment="1">
      <alignment vertical="center"/>
    </xf>
    <xf numFmtId="0" fontId="59" fillId="2" borderId="96" xfId="1" applyFont="1" applyFill="1" applyBorder="1"/>
    <xf numFmtId="0" fontId="20" fillId="0" borderId="22" xfId="0" applyFont="1" applyBorder="1" applyAlignment="1">
      <alignment vertical="center" wrapText="1"/>
    </xf>
    <xf numFmtId="0" fontId="69" fillId="10" borderId="24" xfId="0" applyFont="1" applyFill="1" applyBorder="1" applyAlignment="1">
      <alignment vertical="center" wrapText="1"/>
    </xf>
    <xf numFmtId="0" fontId="20" fillId="10" borderId="24" xfId="0" applyFont="1" applyFill="1" applyBorder="1" applyAlignment="1">
      <alignment vertical="center" wrapText="1"/>
    </xf>
    <xf numFmtId="0" fontId="73" fillId="2" borderId="16" xfId="1" applyFont="1" applyFill="1" applyBorder="1" applyAlignment="1">
      <alignment vertical="center" textRotation="90"/>
    </xf>
    <xf numFmtId="0" fontId="32" fillId="2" borderId="16" xfId="1" applyFont="1" applyFill="1" applyBorder="1" applyAlignment="1">
      <alignment vertical="center" textRotation="90" wrapText="1"/>
    </xf>
    <xf numFmtId="0" fontId="73" fillId="2" borderId="16" xfId="1" applyFont="1" applyFill="1" applyBorder="1" applyAlignment="1">
      <alignment horizontal="center" vertical="center" textRotation="90"/>
    </xf>
    <xf numFmtId="0" fontId="20" fillId="2" borderId="21" xfId="1" applyFont="1" applyFill="1" applyBorder="1"/>
    <xf numFmtId="0" fontId="22" fillId="2" borderId="2" xfId="0" applyFont="1" applyFill="1" applyBorder="1" applyAlignment="1">
      <alignment vertical="center"/>
    </xf>
    <xf numFmtId="0" fontId="22" fillId="10" borderId="20" xfId="0" applyFont="1" applyFill="1" applyBorder="1" applyAlignment="1">
      <alignment vertical="center" wrapText="1"/>
    </xf>
    <xf numFmtId="0" fontId="22" fillId="10" borderId="22" xfId="0" applyFont="1" applyFill="1" applyBorder="1" applyAlignment="1">
      <alignment vertical="center" wrapText="1"/>
    </xf>
    <xf numFmtId="0" fontId="20" fillId="2" borderId="24" xfId="0" applyFont="1" applyFill="1" applyBorder="1" applyAlignment="1">
      <alignment horizontal="center" vertical="center"/>
    </xf>
    <xf numFmtId="0" fontId="74" fillId="2" borderId="0" xfId="0" applyFont="1" applyFill="1" applyAlignment="1">
      <alignment wrapText="1"/>
    </xf>
    <xf numFmtId="0" fontId="32" fillId="2" borderId="16" xfId="1" applyFont="1" applyFill="1" applyBorder="1"/>
    <xf numFmtId="0" fontId="32" fillId="2" borderId="13" xfId="1" applyFont="1" applyFill="1" applyBorder="1" applyAlignment="1">
      <alignment vertical="center" textRotation="90" wrapText="1"/>
    </xf>
    <xf numFmtId="0" fontId="32" fillId="2" borderId="10" xfId="1" applyFont="1" applyFill="1" applyBorder="1"/>
    <xf numFmtId="0" fontId="59" fillId="2" borderId="0" xfId="0" applyFont="1" applyFill="1" applyAlignment="1">
      <alignment horizontal="left" vertical="center" wrapText="1"/>
    </xf>
    <xf numFmtId="0" fontId="59" fillId="2" borderId="9" xfId="0" applyFont="1" applyFill="1" applyBorder="1" applyAlignment="1">
      <alignment horizontal="center" vertical="center" wrapText="1"/>
    </xf>
    <xf numFmtId="0" fontId="59" fillId="2" borderId="0" xfId="0" applyFont="1" applyFill="1" applyAlignment="1">
      <alignment horizontal="left" wrapText="1"/>
    </xf>
    <xf numFmtId="0" fontId="59" fillId="2" borderId="9" xfId="0" applyFont="1" applyFill="1" applyBorder="1" applyAlignment="1">
      <alignment horizontal="center" wrapText="1"/>
    </xf>
    <xf numFmtId="0" fontId="16" fillId="2" borderId="0" xfId="0" applyFont="1" applyFill="1" applyAlignment="1">
      <alignment vertical="top"/>
    </xf>
    <xf numFmtId="0" fontId="41" fillId="2" borderId="0" xfId="0" applyFont="1" applyFill="1" applyAlignment="1">
      <alignment horizontal="left" vertical="top" wrapText="1"/>
    </xf>
    <xf numFmtId="0" fontId="43" fillId="12" borderId="102" xfId="0" applyFont="1" applyFill="1" applyBorder="1" applyAlignment="1">
      <alignment vertical="top"/>
    </xf>
    <xf numFmtId="0" fontId="20" fillId="2" borderId="0" xfId="0" applyFont="1" applyFill="1" applyAlignment="1">
      <alignment horizontal="right" vertical="center" wrapText="1"/>
    </xf>
    <xf numFmtId="1" fontId="20" fillId="4" borderId="0" xfId="0" applyNumberFormat="1" applyFont="1" applyFill="1" applyAlignment="1">
      <alignment horizontal="center"/>
    </xf>
    <xf numFmtId="0" fontId="51" fillId="2" borderId="0" xfId="0" applyFont="1" applyFill="1"/>
    <xf numFmtId="0" fontId="71" fillId="2" borderId="0" xfId="0" applyFont="1" applyFill="1" applyAlignment="1">
      <alignment vertical="center" wrapText="1"/>
    </xf>
    <xf numFmtId="0" fontId="71" fillId="2" borderId="22" xfId="0" applyFont="1" applyFill="1" applyBorder="1" applyAlignment="1">
      <alignment vertical="center" wrapText="1"/>
    </xf>
    <xf numFmtId="0" fontId="22" fillId="2" borderId="2" xfId="0" applyFont="1" applyFill="1" applyBorder="1" applyAlignment="1" applyProtection="1">
      <alignment vertical="center"/>
      <protection locked="0"/>
    </xf>
    <xf numFmtId="1" fontId="20" fillId="10" borderId="24" xfId="0" applyNumberFormat="1" applyFont="1" applyFill="1" applyBorder="1" applyAlignment="1">
      <alignment horizontal="center" vertical="center" wrapText="1"/>
    </xf>
    <xf numFmtId="0" fontId="20" fillId="10" borderId="21" xfId="0" applyFont="1" applyFill="1" applyBorder="1" applyAlignment="1">
      <alignment vertical="center"/>
    </xf>
    <xf numFmtId="0" fontId="20" fillId="10" borderId="22" xfId="0" applyFont="1" applyFill="1" applyBorder="1" applyAlignment="1">
      <alignment vertical="center"/>
    </xf>
    <xf numFmtId="0" fontId="20" fillId="10" borderId="7" xfId="0" applyFont="1" applyFill="1" applyBorder="1" applyAlignment="1">
      <alignment vertical="center"/>
    </xf>
    <xf numFmtId="0" fontId="20" fillId="10" borderId="8" xfId="0" applyFont="1" applyFill="1" applyBorder="1" applyAlignment="1">
      <alignment vertical="center"/>
    </xf>
    <xf numFmtId="0" fontId="20" fillId="2" borderId="21"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21" xfId="0" applyFont="1" applyFill="1" applyBorder="1" applyAlignment="1">
      <alignment vertical="center" wrapText="1"/>
    </xf>
    <xf numFmtId="0" fontId="69" fillId="2" borderId="21" xfId="0" applyFont="1" applyFill="1" applyBorder="1" applyAlignment="1">
      <alignment vertical="center" wrapText="1"/>
    </xf>
    <xf numFmtId="0" fontId="20" fillId="2" borderId="0" xfId="0" applyFont="1" applyFill="1" applyAlignment="1">
      <alignment horizontal="center" vertical="center" wrapText="1"/>
    </xf>
    <xf numFmtId="0" fontId="20" fillId="2" borderId="4" xfId="0" applyFont="1" applyFill="1" applyBorder="1" applyAlignment="1">
      <alignment horizontal="center" vertical="center" wrapText="1"/>
    </xf>
    <xf numFmtId="0" fontId="20" fillId="2" borderId="22" xfId="0" applyFont="1" applyFill="1" applyBorder="1" applyAlignment="1">
      <alignment horizontal="center" vertical="center"/>
    </xf>
    <xf numFmtId="0" fontId="20" fillId="0" borderId="121" xfId="0" applyFont="1" applyBorder="1" applyAlignment="1">
      <alignment vertical="center" wrapText="1"/>
    </xf>
    <xf numFmtId="0" fontId="71" fillId="0" borderId="120" xfId="0" applyFont="1" applyBorder="1" applyAlignment="1">
      <alignment vertical="center"/>
    </xf>
    <xf numFmtId="0" fontId="71" fillId="2" borderId="20" xfId="0" applyFont="1" applyFill="1" applyBorder="1" applyAlignment="1" applyProtection="1">
      <alignment vertical="center"/>
      <protection locked="0"/>
    </xf>
    <xf numFmtId="0" fontId="18" fillId="2" borderId="21" xfId="0" applyFont="1" applyFill="1" applyBorder="1" applyAlignment="1">
      <alignment vertical="center"/>
    </xf>
    <xf numFmtId="0" fontId="18" fillId="10" borderId="20" xfId="0" applyFont="1" applyFill="1" applyBorder="1" applyAlignment="1">
      <alignment vertical="center"/>
    </xf>
    <xf numFmtId="0" fontId="20" fillId="10" borderId="3"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20" fillId="10" borderId="25" xfId="0" applyFont="1" applyFill="1" applyBorder="1" applyAlignment="1">
      <alignment horizontal="center" vertical="center" wrapText="1"/>
    </xf>
    <xf numFmtId="0" fontId="20" fillId="10" borderId="31" xfId="0" applyFont="1" applyFill="1" applyBorder="1" applyAlignment="1">
      <alignment horizontal="left" vertical="center" wrapText="1"/>
    </xf>
    <xf numFmtId="0" fontId="20" fillId="10" borderId="5" xfId="0" applyFont="1" applyFill="1" applyBorder="1" applyAlignment="1">
      <alignment horizontal="left" vertical="center" wrapText="1"/>
    </xf>
    <xf numFmtId="0" fontId="20" fillId="10" borderId="20" xfId="0" applyFont="1" applyFill="1" applyBorder="1" applyAlignment="1">
      <alignment vertical="center" wrapText="1"/>
    </xf>
    <xf numFmtId="0" fontId="20" fillId="10" borderId="20" xfId="0" applyFont="1" applyFill="1" applyBorder="1" applyAlignment="1">
      <alignment horizontal="center" vertical="center" wrapText="1"/>
    </xf>
    <xf numFmtId="0" fontId="20" fillId="10" borderId="25" xfId="0" applyFont="1" applyFill="1" applyBorder="1" applyAlignment="1">
      <alignment horizontal="center" wrapText="1"/>
    </xf>
    <xf numFmtId="0" fontId="21" fillId="2" borderId="0" xfId="0" applyFont="1" applyFill="1" applyAlignment="1">
      <alignment vertical="top"/>
    </xf>
    <xf numFmtId="0" fontId="20" fillId="2" borderId="0" xfId="0" applyFont="1" applyFill="1" applyAlignment="1">
      <alignment horizontal="right"/>
    </xf>
    <xf numFmtId="169" fontId="20" fillId="12" borderId="24" xfId="0" applyNumberFormat="1" applyFont="1" applyFill="1" applyBorder="1"/>
    <xf numFmtId="0" fontId="41" fillId="2" borderId="0" xfId="1" applyFont="1" applyFill="1" applyAlignment="1">
      <alignment vertical="center"/>
    </xf>
    <xf numFmtId="169" fontId="26" fillId="12" borderId="24" xfId="4" applyNumberFormat="1" applyFont="1" applyFill="1" applyBorder="1" applyProtection="1"/>
    <xf numFmtId="0" fontId="70" fillId="2" borderId="0" xfId="0" applyFont="1" applyFill="1" applyAlignment="1">
      <alignment horizontal="left"/>
    </xf>
    <xf numFmtId="0" fontId="26" fillId="2" borderId="1" xfId="0" applyFont="1" applyFill="1" applyBorder="1" applyAlignment="1">
      <alignment horizontal="right"/>
    </xf>
    <xf numFmtId="0" fontId="20" fillId="2" borderId="4" xfId="0" applyFont="1" applyFill="1" applyBorder="1" applyAlignment="1">
      <alignment horizontal="right"/>
    </xf>
    <xf numFmtId="0" fontId="21" fillId="2" borderId="1" xfId="0" applyFont="1" applyFill="1" applyBorder="1"/>
    <xf numFmtId="0" fontId="71" fillId="2" borderId="0" xfId="0" applyFont="1" applyFill="1"/>
    <xf numFmtId="0" fontId="21" fillId="2" borderId="4" xfId="0" applyFont="1" applyFill="1" applyBorder="1"/>
    <xf numFmtId="0" fontId="26" fillId="2" borderId="4" xfId="0" applyFont="1" applyFill="1" applyBorder="1" applyAlignment="1">
      <alignment horizontal="right"/>
    </xf>
    <xf numFmtId="169" fontId="20" fillId="12" borderId="3" xfId="0" applyNumberFormat="1" applyFont="1" applyFill="1" applyBorder="1"/>
    <xf numFmtId="169" fontId="20" fillId="12" borderId="5" xfId="0" applyNumberFormat="1" applyFont="1" applyFill="1" applyBorder="1"/>
    <xf numFmtId="0" fontId="70" fillId="2" borderId="0" xfId="0" applyFont="1" applyFill="1"/>
    <xf numFmtId="0" fontId="41" fillId="2" borderId="0" xfId="0" applyFont="1" applyFill="1" applyAlignment="1">
      <alignment horizontal="left" vertical="center"/>
    </xf>
    <xf numFmtId="0" fontId="40" fillId="2" borderId="0" xfId="0" applyFont="1" applyFill="1" applyAlignment="1">
      <alignment horizontal="left" vertical="center"/>
    </xf>
    <xf numFmtId="0" fontId="58" fillId="2" borderId="0" xfId="0" applyFont="1" applyFill="1" applyAlignment="1">
      <alignment horizontal="left" vertical="center"/>
    </xf>
    <xf numFmtId="0" fontId="46" fillId="16" borderId="82" xfId="0" applyFont="1" applyFill="1" applyBorder="1" applyAlignment="1">
      <alignment horizontal="left" vertical="center" wrapText="1"/>
    </xf>
    <xf numFmtId="0" fontId="59" fillId="2" borderId="0" xfId="0" applyFont="1" applyFill="1" applyAlignment="1">
      <alignment horizontal="left" vertical="center"/>
    </xf>
    <xf numFmtId="0" fontId="59" fillId="16" borderId="82" xfId="0" applyFont="1" applyFill="1" applyBorder="1" applyAlignment="1">
      <alignment horizontal="left" vertical="center"/>
    </xf>
    <xf numFmtId="0" fontId="66" fillId="2" borderId="0" xfId="0" applyFont="1" applyFill="1" applyAlignment="1">
      <alignment horizontal="left" vertical="center"/>
    </xf>
    <xf numFmtId="0" fontId="59" fillId="2" borderId="9" xfId="0" applyFont="1" applyFill="1" applyBorder="1" applyAlignment="1">
      <alignment horizontal="left" vertical="center" wrapText="1"/>
    </xf>
    <xf numFmtId="0" fontId="60" fillId="16" borderId="82" xfId="0" applyFont="1" applyFill="1" applyBorder="1" applyAlignment="1">
      <alignment horizontal="left" vertical="center"/>
    </xf>
    <xf numFmtId="0" fontId="20" fillId="2" borderId="0" xfId="0" applyFont="1" applyFill="1" applyAlignment="1">
      <alignment vertical="top"/>
    </xf>
    <xf numFmtId="0" fontId="21" fillId="2" borderId="0" xfId="0" applyFont="1" applyFill="1" applyAlignment="1">
      <alignment horizontal="left" vertical="top" wrapText="1" indent="2"/>
    </xf>
    <xf numFmtId="0" fontId="21" fillId="2" borderId="0" xfId="0" applyFont="1" applyFill="1" applyAlignment="1">
      <alignment horizontal="right"/>
    </xf>
    <xf numFmtId="9" fontId="21" fillId="2" borderId="0" xfId="7" applyFont="1" applyFill="1" applyAlignment="1">
      <alignment horizontal="left" vertical="center"/>
    </xf>
    <xf numFmtId="0" fontId="15" fillId="2" borderId="0" xfId="0" applyFont="1" applyFill="1"/>
    <xf numFmtId="0" fontId="45" fillId="2" borderId="0" xfId="3" applyFont="1" applyFill="1" applyBorder="1" applyAlignment="1" applyProtection="1">
      <alignment vertical="center" wrapText="1"/>
    </xf>
    <xf numFmtId="0" fontId="60" fillId="2" borderId="0" xfId="0" applyFont="1" applyFill="1" applyAlignment="1">
      <alignment wrapText="1"/>
    </xf>
    <xf numFmtId="0" fontId="41" fillId="2" borderId="0" xfId="0" applyFont="1" applyFill="1" applyAlignment="1">
      <alignment vertical="center" wrapText="1"/>
    </xf>
    <xf numFmtId="0" fontId="58" fillId="2" borderId="0" xfId="0" applyFont="1" applyFill="1" applyAlignment="1">
      <alignment horizontal="center" wrapText="1"/>
    </xf>
    <xf numFmtId="0" fontId="61" fillId="16" borderId="78" xfId="0" applyFont="1" applyFill="1" applyBorder="1" applyAlignment="1">
      <alignment horizontal="left" vertical="center" wrapText="1"/>
    </xf>
    <xf numFmtId="0" fontId="20" fillId="2" borderId="0" xfId="0" applyFont="1" applyFill="1" applyAlignment="1">
      <alignment wrapText="1"/>
    </xf>
    <xf numFmtId="0" fontId="20" fillId="2" borderId="0" xfId="0" applyFont="1" applyFill="1" applyAlignment="1">
      <alignment horizontal="center"/>
    </xf>
    <xf numFmtId="0" fontId="15" fillId="0" borderId="0" xfId="0" applyFont="1"/>
    <xf numFmtId="0" fontId="61" fillId="16" borderId="86" xfId="0" applyFont="1" applyFill="1" applyBorder="1" applyAlignment="1">
      <alignment horizontal="left" vertical="center" wrapText="1"/>
    </xf>
    <xf numFmtId="0" fontId="59" fillId="2" borderId="0" xfId="0" applyFont="1" applyFill="1" applyAlignment="1">
      <alignment horizontal="left" vertical="center" wrapText="1" indent="1"/>
    </xf>
    <xf numFmtId="0" fontId="24" fillId="2" borderId="0" xfId="3" applyFill="1" applyBorder="1" applyAlignment="1" applyProtection="1">
      <alignment horizontal="left" vertical="center" wrapText="1" indent="1"/>
    </xf>
    <xf numFmtId="0" fontId="59" fillId="2" borderId="14" xfId="0" applyFont="1" applyFill="1" applyBorder="1" applyAlignment="1">
      <alignment vertical="center" wrapText="1"/>
    </xf>
    <xf numFmtId="0" fontId="20" fillId="0" borderId="0" xfId="0" applyFont="1"/>
    <xf numFmtId="0" fontId="66" fillId="16" borderId="77" xfId="0" applyFont="1" applyFill="1" applyBorder="1" applyAlignment="1">
      <alignment vertical="center"/>
    </xf>
    <xf numFmtId="0" fontId="59" fillId="2" borderId="9" xfId="0" applyFont="1" applyFill="1" applyBorder="1" applyAlignment="1">
      <alignment vertical="center" wrapText="1"/>
    </xf>
    <xf numFmtId="0" fontId="20" fillId="2" borderId="0" xfId="0" applyFont="1" applyFill="1" applyAlignment="1">
      <alignment horizontal="center" wrapText="1"/>
    </xf>
    <xf numFmtId="0" fontId="31" fillId="3" borderId="19" xfId="0" applyFont="1" applyFill="1" applyBorder="1" applyProtection="1">
      <protection locked="0"/>
    </xf>
    <xf numFmtId="0" fontId="31" fillId="16" borderId="0" xfId="0" applyFont="1" applyFill="1" applyAlignment="1">
      <alignment horizontal="left" vertical="center"/>
    </xf>
    <xf numFmtId="0" fontId="31" fillId="3" borderId="16" xfId="0" applyFont="1" applyFill="1" applyBorder="1" applyAlignment="1" applyProtection="1">
      <alignment horizontal="center" vertical="center"/>
      <protection locked="0"/>
    </xf>
    <xf numFmtId="0" fontId="31" fillId="2" borderId="0" xfId="0" applyFont="1" applyFill="1" applyAlignment="1">
      <alignment horizontal="left" vertical="center"/>
    </xf>
    <xf numFmtId="0" fontId="41" fillId="2" borderId="123" xfId="0" applyFont="1" applyFill="1" applyBorder="1"/>
    <xf numFmtId="0" fontId="20" fillId="8" borderId="131" xfId="0" applyFont="1" applyFill="1" applyBorder="1" applyAlignment="1">
      <alignment horizontal="left" vertical="center" indent="1"/>
    </xf>
    <xf numFmtId="0" fontId="20" fillId="10" borderId="131" xfId="0" applyFont="1" applyFill="1" applyBorder="1" applyAlignment="1">
      <alignment horizontal="left" vertical="center" indent="1"/>
    </xf>
    <xf numFmtId="0" fontId="20" fillId="12" borderId="131" xfId="0" applyFont="1" applyFill="1" applyBorder="1" applyAlignment="1">
      <alignment horizontal="left" indent="1"/>
    </xf>
    <xf numFmtId="0" fontId="20" fillId="14" borderId="131" xfId="0" applyFont="1" applyFill="1" applyBorder="1" applyAlignment="1">
      <alignment horizontal="left" indent="1"/>
    </xf>
    <xf numFmtId="0" fontId="20" fillId="11" borderId="131" xfId="0" applyFont="1" applyFill="1" applyBorder="1" applyAlignment="1">
      <alignment horizontal="left" wrapText="1" indent="1"/>
    </xf>
    <xf numFmtId="0" fontId="20" fillId="13" borderId="131" xfId="0" applyFont="1" applyFill="1" applyBorder="1" applyAlignment="1">
      <alignment horizontal="left" wrapText="1" indent="1"/>
    </xf>
    <xf numFmtId="0" fontId="20" fillId="0" borderId="0" xfId="0" applyFont="1" applyAlignment="1">
      <alignment horizontal="left"/>
    </xf>
    <xf numFmtId="0" fontId="20" fillId="2" borderId="131" xfId="0" applyFont="1" applyFill="1" applyBorder="1" applyAlignment="1">
      <alignment horizontal="left" wrapText="1" indent="1"/>
    </xf>
    <xf numFmtId="0" fontId="31" fillId="2" borderId="133" xfId="0" quotePrefix="1" applyFont="1" applyFill="1" applyBorder="1" applyAlignment="1">
      <alignment horizontal="left" wrapText="1" indent="1"/>
    </xf>
    <xf numFmtId="0" fontId="21" fillId="12" borderId="0" xfId="0" applyFont="1" applyFill="1" applyAlignment="1">
      <alignment horizontal="left" vertical="top" wrapText="1" indent="2"/>
    </xf>
    <xf numFmtId="0" fontId="21" fillId="12" borderId="14" xfId="0" applyFont="1" applyFill="1" applyBorder="1" applyAlignment="1">
      <alignment horizontal="left" vertical="top" wrapText="1" indent="2"/>
    </xf>
    <xf numFmtId="0" fontId="21" fillId="14" borderId="98" xfId="0" applyFont="1" applyFill="1" applyBorder="1" applyAlignment="1">
      <alignment horizontal="left" vertical="top" wrapText="1" indent="2"/>
    </xf>
    <xf numFmtId="0" fontId="21" fillId="10" borderId="134" xfId="0" applyFont="1" applyFill="1" applyBorder="1" applyAlignment="1">
      <alignment horizontal="left" vertical="top" wrapText="1" indent="2"/>
    </xf>
    <xf numFmtId="0" fontId="28" fillId="2" borderId="0" xfId="1" applyFont="1" applyFill="1" applyAlignment="1">
      <alignment vertical="center"/>
    </xf>
    <xf numFmtId="0" fontId="20" fillId="2" borderId="11" xfId="1" applyFont="1" applyFill="1" applyBorder="1" applyAlignment="1">
      <alignment horizontal="right" vertical="center"/>
    </xf>
    <xf numFmtId="0" fontId="16" fillId="0" borderId="0" xfId="1" applyFont="1" applyAlignment="1">
      <alignment vertical="center"/>
    </xf>
    <xf numFmtId="0" fontId="22" fillId="0" borderId="0" xfId="1" applyFont="1"/>
    <xf numFmtId="0" fontId="14" fillId="2" borderId="122" xfId="0" applyFont="1" applyFill="1" applyBorder="1"/>
    <xf numFmtId="0" fontId="14" fillId="2" borderId="123" xfId="0" applyFont="1" applyFill="1" applyBorder="1"/>
    <xf numFmtId="0" fontId="14" fillId="2" borderId="124" xfId="0" applyFont="1" applyFill="1" applyBorder="1"/>
    <xf numFmtId="0" fontId="14" fillId="2" borderId="125" xfId="0" applyFont="1" applyFill="1" applyBorder="1"/>
    <xf numFmtId="0" fontId="14" fillId="2" borderId="0" xfId="0" applyFont="1" applyFill="1"/>
    <xf numFmtId="0" fontId="14" fillId="2" borderId="126" xfId="0" applyFont="1" applyFill="1" applyBorder="1"/>
    <xf numFmtId="0" fontId="14" fillId="2" borderId="0" xfId="0" applyFont="1" applyFill="1" applyAlignment="1">
      <alignment horizontal="left" indent="1"/>
    </xf>
    <xf numFmtId="0" fontId="14" fillId="0" borderId="0" xfId="0" applyFont="1"/>
    <xf numFmtId="0" fontId="14" fillId="2" borderId="127" xfId="0" applyFont="1" applyFill="1" applyBorder="1"/>
    <xf numFmtId="0" fontId="14" fillId="2" borderId="128" xfId="0" applyFont="1" applyFill="1" applyBorder="1"/>
    <xf numFmtId="0" fontId="14" fillId="2" borderId="129" xfId="0" applyFont="1" applyFill="1" applyBorder="1"/>
    <xf numFmtId="0" fontId="14" fillId="2" borderId="0" xfId="0" applyFont="1" applyFill="1" applyAlignment="1">
      <alignment vertical="top" wrapText="1"/>
    </xf>
    <xf numFmtId="0" fontId="14" fillId="4" borderId="0" xfId="0" applyFont="1" applyFill="1" applyAlignment="1">
      <alignment horizontal="left" vertical="top" wrapText="1" indent="2"/>
    </xf>
    <xf numFmtId="0" fontId="14" fillId="3" borderId="0" xfId="0" applyFont="1" applyFill="1" applyAlignment="1">
      <alignment horizontal="left" vertical="top" wrapText="1" indent="2"/>
    </xf>
    <xf numFmtId="0" fontId="14" fillId="2" borderId="103" xfId="0" applyFont="1" applyFill="1" applyBorder="1" applyAlignment="1">
      <alignment vertical="top" wrapText="1"/>
    </xf>
    <xf numFmtId="0" fontId="14" fillId="2" borderId="0" xfId="0" applyFont="1" applyFill="1" applyAlignment="1">
      <alignment horizontal="center"/>
    </xf>
    <xf numFmtId="0" fontId="14" fillId="3" borderId="0" xfId="0" applyFont="1" applyFill="1"/>
    <xf numFmtId="0" fontId="14" fillId="2" borderId="10" xfId="0" applyFont="1" applyFill="1" applyBorder="1"/>
    <xf numFmtId="0" fontId="14" fillId="2" borderId="11" xfId="0" applyFont="1" applyFill="1" applyBorder="1"/>
    <xf numFmtId="0" fontId="14" fillId="2" borderId="12" xfId="0" applyFont="1" applyFill="1" applyBorder="1"/>
    <xf numFmtId="0" fontId="14" fillId="4" borderId="0" xfId="0" applyFont="1" applyFill="1"/>
    <xf numFmtId="0" fontId="14" fillId="2" borderId="13" xfId="0" applyFont="1" applyFill="1" applyBorder="1"/>
    <xf numFmtId="0" fontId="14" fillId="2" borderId="14" xfId="0" applyFont="1" applyFill="1" applyBorder="1"/>
    <xf numFmtId="0" fontId="14" fillId="2" borderId="15" xfId="0" applyFont="1" applyFill="1" applyBorder="1"/>
    <xf numFmtId="0" fontId="14" fillId="10" borderId="41" xfId="0" applyFont="1" applyFill="1" applyBorder="1"/>
    <xf numFmtId="0" fontId="14" fillId="2" borderId="43" xfId="0" applyFont="1" applyFill="1" applyBorder="1"/>
    <xf numFmtId="0" fontId="14" fillId="2" borderId="44" xfId="0" applyFont="1" applyFill="1" applyBorder="1"/>
    <xf numFmtId="0" fontId="14" fillId="5" borderId="43" xfId="0" applyFont="1" applyFill="1" applyBorder="1"/>
    <xf numFmtId="0" fontId="14" fillId="5" borderId="0" xfId="0" applyFont="1" applyFill="1"/>
    <xf numFmtId="0" fontId="14" fillId="2" borderId="45" xfId="0" applyFont="1" applyFill="1" applyBorder="1"/>
    <xf numFmtId="0" fontId="14" fillId="2" borderId="46" xfId="0" applyFont="1" applyFill="1" applyBorder="1"/>
    <xf numFmtId="0" fontId="14" fillId="2" borderId="47" xfId="0" applyFont="1" applyFill="1" applyBorder="1"/>
    <xf numFmtId="0" fontId="14" fillId="12" borderId="58" xfId="0" applyFont="1" applyFill="1" applyBorder="1"/>
    <xf numFmtId="0" fontId="14" fillId="12" borderId="59" xfId="0" applyFont="1" applyFill="1" applyBorder="1"/>
    <xf numFmtId="0" fontId="14" fillId="2" borderId="60" xfId="0" applyFont="1" applyFill="1" applyBorder="1"/>
    <xf numFmtId="0" fontId="14" fillId="2" borderId="61" xfId="0" applyFont="1" applyFill="1" applyBorder="1"/>
    <xf numFmtId="0" fontId="14" fillId="2" borderId="62" xfId="0" applyFont="1" applyFill="1" applyBorder="1"/>
    <xf numFmtId="0" fontId="14" fillId="2" borderId="63" xfId="0" applyFont="1" applyFill="1" applyBorder="1"/>
    <xf numFmtId="0" fontId="14" fillId="2" borderId="64" xfId="0" applyFont="1" applyFill="1" applyBorder="1"/>
    <xf numFmtId="0" fontId="14" fillId="16" borderId="77" xfId="0" applyFont="1" applyFill="1" applyBorder="1"/>
    <xf numFmtId="0" fontId="14" fillId="16" borderId="78" xfId="0" applyFont="1" applyFill="1" applyBorder="1"/>
    <xf numFmtId="0" fontId="14" fillId="2" borderId="79" xfId="0" applyFont="1" applyFill="1" applyBorder="1"/>
    <xf numFmtId="0" fontId="14" fillId="2" borderId="80" xfId="0" applyFont="1" applyFill="1" applyBorder="1"/>
    <xf numFmtId="0" fontId="14" fillId="5" borderId="79" xfId="0" applyFont="1" applyFill="1" applyBorder="1"/>
    <xf numFmtId="0" fontId="14" fillId="2" borderId="81" xfId="0" applyFont="1" applyFill="1" applyBorder="1"/>
    <xf numFmtId="0" fontId="14" fillId="2" borderId="82" xfId="0" applyFont="1" applyFill="1" applyBorder="1"/>
    <xf numFmtId="0" fontId="14" fillId="2" borderId="83" xfId="0" applyFont="1" applyFill="1" applyBorder="1"/>
    <xf numFmtId="0" fontId="14" fillId="10" borderId="0" xfId="0" applyFont="1" applyFill="1"/>
    <xf numFmtId="0" fontId="14" fillId="10" borderId="0" xfId="0" applyFont="1" applyFill="1" applyAlignment="1">
      <alignment wrapText="1"/>
    </xf>
    <xf numFmtId="0" fontId="14" fillId="8" borderId="0" xfId="0" applyFont="1" applyFill="1"/>
    <xf numFmtId="0" fontId="14" fillId="2" borderId="0" xfId="0" applyFont="1" applyFill="1" applyAlignment="1">
      <alignment wrapText="1"/>
    </xf>
    <xf numFmtId="0" fontId="14" fillId="10" borderId="24" xfId="0" applyFont="1" applyFill="1" applyBorder="1"/>
    <xf numFmtId="0" fontId="14" fillId="2" borderId="20" xfId="0" applyFont="1" applyFill="1" applyBorder="1" applyAlignment="1">
      <alignment horizontal="right" vertical="center" wrapText="1"/>
    </xf>
    <xf numFmtId="0" fontId="14" fillId="4" borderId="24" xfId="0" applyFont="1" applyFill="1" applyBorder="1"/>
    <xf numFmtId="0" fontId="14" fillId="2" borderId="0" xfId="0" applyFont="1" applyFill="1" applyAlignment="1">
      <alignment horizontal="right" vertical="center" wrapText="1"/>
    </xf>
    <xf numFmtId="10" fontId="14" fillId="4" borderId="0" xfId="0" applyNumberFormat="1" applyFont="1" applyFill="1" applyAlignment="1">
      <alignment horizontal="center"/>
    </xf>
    <xf numFmtId="0" fontId="14" fillId="2" borderId="14" xfId="0" applyFont="1" applyFill="1" applyBorder="1" applyAlignment="1">
      <alignment horizontal="right" vertical="center" wrapText="1"/>
    </xf>
    <xf numFmtId="10" fontId="14" fillId="4" borderId="14" xfId="0" applyNumberFormat="1" applyFont="1" applyFill="1" applyBorder="1" applyAlignment="1">
      <alignment horizontal="center"/>
    </xf>
    <xf numFmtId="1" fontId="14" fillId="10" borderId="0" xfId="0" applyNumberFormat="1" applyFont="1" applyFill="1" applyAlignment="1">
      <alignment horizontal="center" vertical="center"/>
    </xf>
    <xf numFmtId="1" fontId="14" fillId="10" borderId="14" xfId="0" applyNumberFormat="1" applyFont="1" applyFill="1" applyBorder="1" applyAlignment="1">
      <alignment horizontal="center" vertical="center"/>
    </xf>
    <xf numFmtId="9" fontId="14" fillId="8" borderId="0" xfId="0" applyNumberFormat="1" applyFont="1" applyFill="1" applyAlignment="1">
      <alignment horizontal="center" vertical="center"/>
    </xf>
    <xf numFmtId="9" fontId="14" fillId="8" borderId="14" xfId="0" applyNumberFormat="1" applyFont="1" applyFill="1" applyBorder="1" applyAlignment="1">
      <alignment horizontal="center" vertical="center"/>
    </xf>
    <xf numFmtId="0" fontId="14" fillId="2" borderId="0" xfId="0" applyFont="1" applyFill="1" applyAlignment="1">
      <alignment vertical="center" wrapText="1"/>
    </xf>
    <xf numFmtId="0" fontId="14" fillId="2" borderId="0" xfId="0" applyFont="1" applyFill="1" applyAlignment="1">
      <alignment vertical="center"/>
    </xf>
    <xf numFmtId="0" fontId="14" fillId="10" borderId="0" xfId="0" applyFont="1" applyFill="1" applyAlignment="1">
      <alignment horizontal="center" vertical="center"/>
    </xf>
    <xf numFmtId="0" fontId="14" fillId="2" borderId="0" xfId="0" applyFont="1" applyFill="1" applyAlignment="1">
      <alignment horizontal="left" vertical="center" wrapText="1"/>
    </xf>
    <xf numFmtId="0" fontId="14" fillId="10" borderId="24" xfId="0" applyFont="1" applyFill="1" applyBorder="1" applyAlignment="1">
      <alignment horizontal="center" vertical="center"/>
    </xf>
    <xf numFmtId="0" fontId="14" fillId="8" borderId="0" xfId="0" applyFont="1" applyFill="1" applyAlignment="1">
      <alignment wrapText="1"/>
    </xf>
    <xf numFmtId="0" fontId="13" fillId="2" borderId="0" xfId="0" applyFont="1" applyFill="1" applyAlignment="1" applyProtection="1">
      <alignment wrapText="1"/>
      <protection locked="0"/>
    </xf>
    <xf numFmtId="0" fontId="13" fillId="3" borderId="0" xfId="0" applyFont="1" applyFill="1" applyAlignment="1" applyProtection="1">
      <alignment wrapText="1"/>
      <protection locked="0"/>
    </xf>
    <xf numFmtId="0" fontId="13" fillId="2" borderId="21" xfId="0" applyFont="1" applyFill="1" applyBorder="1" applyAlignment="1" applyProtection="1">
      <alignment vertical="center"/>
      <protection locked="0"/>
    </xf>
    <xf numFmtId="0" fontId="14" fillId="2" borderId="22" xfId="0" applyFont="1" applyFill="1" applyBorder="1"/>
    <xf numFmtId="0" fontId="13" fillId="2" borderId="7" xfId="0" applyFont="1" applyFill="1" applyBorder="1" applyAlignment="1" applyProtection="1">
      <alignment vertical="center"/>
      <protection locked="0"/>
    </xf>
    <xf numFmtId="0" fontId="14" fillId="8" borderId="89"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8" borderId="26" xfId="0" applyFont="1" applyFill="1" applyBorder="1" applyProtection="1">
      <protection locked="0"/>
    </xf>
    <xf numFmtId="0" fontId="14" fillId="2" borderId="89" xfId="0" applyFont="1" applyFill="1" applyBorder="1" applyAlignment="1" applyProtection="1">
      <alignment vertical="center"/>
      <protection locked="0"/>
    </xf>
    <xf numFmtId="0" fontId="14" fillId="3" borderId="26" xfId="0" applyFont="1" applyFill="1" applyBorder="1" applyProtection="1">
      <protection locked="0"/>
    </xf>
    <xf numFmtId="0" fontId="14" fillId="8" borderId="90" xfId="0" applyFont="1" applyFill="1" applyBorder="1" applyAlignment="1">
      <alignment horizontal="left" vertical="center" wrapText="1"/>
    </xf>
    <xf numFmtId="0" fontId="14" fillId="8" borderId="27" xfId="0" applyFont="1" applyFill="1" applyBorder="1" applyProtection="1">
      <protection locked="0"/>
    </xf>
    <xf numFmtId="0" fontId="14" fillId="2" borderId="99" xfId="0" applyFont="1" applyFill="1" applyBorder="1" applyAlignment="1" applyProtection="1">
      <alignment vertical="center"/>
      <protection locked="0"/>
    </xf>
    <xf numFmtId="0" fontId="14" fillId="3" borderId="27" xfId="0" applyFont="1" applyFill="1" applyBorder="1" applyAlignment="1" applyProtection="1">
      <alignment vertical="center"/>
      <protection locked="0"/>
    </xf>
    <xf numFmtId="0" fontId="14" fillId="2" borderId="98" xfId="0" applyFont="1" applyFill="1" applyBorder="1" applyAlignment="1" applyProtection="1">
      <alignment wrapText="1"/>
      <protection locked="0"/>
    </xf>
    <xf numFmtId="0" fontId="14" fillId="3" borderId="27" xfId="0" applyFont="1" applyFill="1" applyBorder="1" applyAlignment="1" applyProtection="1">
      <alignment wrapText="1"/>
      <protection locked="0"/>
    </xf>
    <xf numFmtId="0" fontId="14" fillId="8" borderId="6" xfId="0" applyFont="1" applyFill="1" applyBorder="1" applyAlignment="1">
      <alignment horizontal="left" vertical="center" wrapText="1"/>
    </xf>
    <xf numFmtId="0" fontId="14" fillId="8" borderId="28" xfId="0" applyFont="1" applyFill="1" applyBorder="1" applyProtection="1">
      <protection locked="0"/>
    </xf>
    <xf numFmtId="0" fontId="14" fillId="2" borderId="48" xfId="0" applyFont="1" applyFill="1" applyBorder="1" applyAlignment="1" applyProtection="1">
      <alignment wrapText="1"/>
      <protection locked="0"/>
    </xf>
    <xf numFmtId="0" fontId="14" fillId="3" borderId="28" xfId="0" applyFont="1" applyFill="1" applyBorder="1" applyAlignment="1" applyProtection="1">
      <alignment wrapText="1"/>
      <protection locked="0"/>
    </xf>
    <xf numFmtId="0" fontId="14" fillId="2" borderId="21" xfId="0" applyFont="1" applyFill="1" applyBorder="1" applyAlignment="1">
      <alignment horizontal="left" vertical="center" wrapText="1"/>
    </xf>
    <xf numFmtId="0" fontId="14" fillId="2" borderId="21" xfId="0" applyFont="1" applyFill="1" applyBorder="1" applyProtection="1">
      <protection locked="0"/>
    </xf>
    <xf numFmtId="0" fontId="14" fillId="2" borderId="21" xfId="0" applyFont="1" applyFill="1" applyBorder="1" applyAlignment="1" applyProtection="1">
      <alignment wrapText="1"/>
      <protection locked="0"/>
    </xf>
    <xf numFmtId="0" fontId="14" fillId="8" borderId="26" xfId="0" applyFont="1" applyFill="1" applyBorder="1" applyAlignment="1">
      <alignment horizontal="center"/>
    </xf>
    <xf numFmtId="0" fontId="14" fillId="8" borderId="26" xfId="0" applyFont="1" applyFill="1" applyBorder="1" applyAlignment="1">
      <alignment vertical="center" wrapText="1"/>
    </xf>
    <xf numFmtId="0" fontId="14" fillId="2" borderId="4" xfId="0" applyFont="1" applyFill="1" applyBorder="1" applyAlignment="1">
      <alignment vertical="center" wrapText="1"/>
    </xf>
    <xf numFmtId="0" fontId="14" fillId="8" borderId="89" xfId="0" applyFont="1" applyFill="1" applyBorder="1" applyProtection="1">
      <protection locked="0"/>
    </xf>
    <xf numFmtId="0" fontId="14" fillId="10" borderId="26" xfId="0" applyFont="1" applyFill="1" applyBorder="1"/>
    <xf numFmtId="0" fontId="14" fillId="3" borderId="91" xfId="0" applyFont="1" applyFill="1" applyBorder="1" applyProtection="1">
      <protection locked="0"/>
    </xf>
    <xf numFmtId="0" fontId="14" fillId="8" borderId="27" xfId="0" applyFont="1" applyFill="1" applyBorder="1" applyAlignment="1">
      <alignment horizontal="center"/>
    </xf>
    <xf numFmtId="0" fontId="14" fillId="8" borderId="27" xfId="0" applyFont="1" applyFill="1" applyBorder="1" applyAlignment="1">
      <alignment vertical="center" wrapText="1"/>
    </xf>
    <xf numFmtId="0" fontId="14" fillId="8" borderId="90" xfId="0" applyFont="1" applyFill="1" applyBorder="1" applyProtection="1">
      <protection locked="0"/>
    </xf>
    <xf numFmtId="0" fontId="14" fillId="10" borderId="27" xfId="0" applyFont="1" applyFill="1" applyBorder="1"/>
    <xf numFmtId="0" fontId="14" fillId="3" borderId="92" xfId="0" applyFont="1" applyFill="1" applyBorder="1" applyProtection="1">
      <protection locked="0"/>
    </xf>
    <xf numFmtId="0" fontId="14" fillId="8" borderId="28" xfId="0" applyFont="1" applyFill="1" applyBorder="1" applyAlignment="1">
      <alignment horizontal="center"/>
    </xf>
    <xf numFmtId="0" fontId="14" fillId="8" borderId="28" xfId="0" applyFont="1" applyFill="1" applyBorder="1" applyAlignment="1">
      <alignment vertical="center" wrapText="1"/>
    </xf>
    <xf numFmtId="0" fontId="14" fillId="8" borderId="6" xfId="0" applyFont="1" applyFill="1" applyBorder="1" applyProtection="1">
      <protection locked="0"/>
    </xf>
    <xf numFmtId="0" fontId="14" fillId="10" borderId="28" xfId="0" applyFont="1" applyFill="1" applyBorder="1"/>
    <xf numFmtId="0" fontId="14" fillId="3" borderId="29" xfId="0" applyFont="1" applyFill="1" applyBorder="1" applyProtection="1">
      <protection locked="0"/>
    </xf>
    <xf numFmtId="0" fontId="14" fillId="10" borderId="6" xfId="0" applyFont="1" applyFill="1" applyBorder="1" applyAlignment="1">
      <alignment horizontal="center" vertical="center"/>
    </xf>
    <xf numFmtId="0" fontId="14" fillId="2" borderId="21" xfId="0" applyFont="1" applyFill="1" applyBorder="1" applyAlignment="1">
      <alignment horizontal="center" vertical="center"/>
    </xf>
    <xf numFmtId="0" fontId="14" fillId="8" borderId="26" xfId="0" applyFont="1" applyFill="1" applyBorder="1" applyAlignment="1">
      <alignment horizontal="center" vertical="center"/>
    </xf>
    <xf numFmtId="9" fontId="14" fillId="10" borderId="99" xfId="7" applyFont="1" applyFill="1" applyBorder="1" applyProtection="1"/>
    <xf numFmtId="0" fontId="14" fillId="0" borderId="118" xfId="0" applyFont="1" applyBorder="1" applyAlignment="1">
      <alignment wrapText="1"/>
    </xf>
    <xf numFmtId="0" fontId="14" fillId="8" borderId="27" xfId="0" applyFont="1" applyFill="1" applyBorder="1" applyAlignment="1">
      <alignment horizontal="center" vertical="center"/>
    </xf>
    <xf numFmtId="9" fontId="14" fillId="8" borderId="99" xfId="7" applyFont="1" applyFill="1" applyBorder="1" applyProtection="1">
      <protection locked="0"/>
    </xf>
    <xf numFmtId="0" fontId="14" fillId="3" borderId="118" xfId="0" applyFont="1" applyFill="1" applyBorder="1" applyProtection="1">
      <protection locked="0"/>
    </xf>
    <xf numFmtId="0" fontId="14" fillId="8" borderId="28" xfId="0" applyFont="1" applyFill="1" applyBorder="1" applyAlignment="1">
      <alignment horizontal="center" vertical="center"/>
    </xf>
    <xf numFmtId="9" fontId="14" fillId="8" borderId="119" xfId="7" applyFont="1" applyFill="1" applyBorder="1" applyProtection="1">
      <protection locked="0"/>
    </xf>
    <xf numFmtId="0" fontId="14" fillId="12" borderId="0" xfId="0" applyFont="1" applyFill="1"/>
    <xf numFmtId="0" fontId="14" fillId="12" borderId="0" xfId="0" applyFont="1" applyFill="1" applyAlignment="1">
      <alignment wrapText="1"/>
    </xf>
    <xf numFmtId="0" fontId="14" fillId="3" borderId="14" xfId="0" applyFont="1" applyFill="1" applyBorder="1" applyProtection="1">
      <protection locked="0"/>
    </xf>
    <xf numFmtId="0" fontId="14" fillId="2" borderId="0" xfId="0" applyFont="1" applyFill="1" applyAlignment="1">
      <alignment horizontal="right"/>
    </xf>
    <xf numFmtId="0" fontId="14" fillId="3" borderId="0" xfId="0" applyFont="1" applyFill="1" applyProtection="1">
      <protection locked="0"/>
    </xf>
    <xf numFmtId="169" fontId="14" fillId="3" borderId="0" xfId="0" applyNumberFormat="1" applyFont="1" applyFill="1" applyProtection="1">
      <protection locked="0"/>
    </xf>
    <xf numFmtId="0" fontId="14" fillId="3" borderId="17" xfId="0" applyFont="1" applyFill="1" applyBorder="1" applyProtection="1">
      <protection locked="0"/>
    </xf>
    <xf numFmtId="169" fontId="13" fillId="3" borderId="0" xfId="0" applyNumberFormat="1" applyFont="1" applyFill="1" applyProtection="1">
      <protection locked="0"/>
    </xf>
    <xf numFmtId="0" fontId="14" fillId="2" borderId="2" xfId="0" applyFont="1" applyFill="1" applyBorder="1"/>
    <xf numFmtId="169" fontId="13" fillId="12" borderId="3" xfId="0" applyNumberFormat="1" applyFont="1" applyFill="1" applyBorder="1"/>
    <xf numFmtId="0" fontId="14" fillId="2" borderId="4" xfId="0" applyFont="1" applyFill="1" applyBorder="1"/>
    <xf numFmtId="169" fontId="13" fillId="12" borderId="5" xfId="0" applyNumberFormat="1" applyFont="1" applyFill="1" applyBorder="1"/>
    <xf numFmtId="0" fontId="13" fillId="2" borderId="0" xfId="0" applyFont="1" applyFill="1"/>
    <xf numFmtId="0" fontId="14" fillId="2" borderId="0" xfId="0" applyFont="1" applyFill="1" applyAlignment="1">
      <alignment horizontal="left"/>
    </xf>
    <xf numFmtId="0" fontId="14" fillId="2" borderId="5" xfId="0" applyFont="1" applyFill="1" applyBorder="1"/>
    <xf numFmtId="0" fontId="14" fillId="2" borderId="96" xfId="0" applyFont="1" applyFill="1" applyBorder="1" applyAlignment="1">
      <alignment horizontal="left"/>
    </xf>
    <xf numFmtId="0" fontId="14" fillId="2" borderId="96" xfId="0" applyFont="1" applyFill="1" applyBorder="1"/>
    <xf numFmtId="169" fontId="14" fillId="8" borderId="97" xfId="4" applyNumberFormat="1" applyFont="1" applyFill="1" applyBorder="1" applyAlignment="1" applyProtection="1">
      <alignment horizontal="right"/>
    </xf>
    <xf numFmtId="169" fontId="14" fillId="8" borderId="94" xfId="4" applyNumberFormat="1" applyFont="1" applyFill="1" applyBorder="1" applyAlignment="1" applyProtection="1">
      <alignment horizontal="right"/>
    </xf>
    <xf numFmtId="0" fontId="14" fillId="2" borderId="93" xfId="1" applyFont="1" applyFill="1" applyBorder="1"/>
    <xf numFmtId="169" fontId="13" fillId="8" borderId="94" xfId="4" applyNumberFormat="1" applyFont="1" applyFill="1" applyBorder="1" applyAlignment="1">
      <alignment horizontal="right"/>
    </xf>
    <xf numFmtId="0" fontId="14" fillId="4" borderId="93" xfId="0" applyFont="1" applyFill="1" applyBorder="1"/>
    <xf numFmtId="0" fontId="14" fillId="2" borderId="6" xfId="0" applyFont="1" applyFill="1" applyBorder="1"/>
    <xf numFmtId="0" fontId="14" fillId="2" borderId="7" xfId="0" applyFont="1" applyFill="1" applyBorder="1"/>
    <xf numFmtId="0" fontId="14" fillId="2" borderId="8" xfId="0" applyFont="1" applyFill="1" applyBorder="1"/>
    <xf numFmtId="0" fontId="14" fillId="3" borderId="4" xfId="0" applyFont="1" applyFill="1" applyBorder="1" applyAlignment="1" applyProtection="1">
      <alignment wrapText="1"/>
      <protection locked="0"/>
    </xf>
    <xf numFmtId="169" fontId="13" fillId="3" borderId="16" xfId="0" applyNumberFormat="1" applyFont="1" applyFill="1" applyBorder="1" applyProtection="1">
      <protection locked="0"/>
    </xf>
    <xf numFmtId="0" fontId="14" fillId="3" borderId="4" xfId="0" applyFont="1" applyFill="1" applyBorder="1" applyProtection="1">
      <protection locked="0"/>
    </xf>
    <xf numFmtId="0" fontId="14" fillId="2" borderId="0" xfId="1" applyFont="1" applyFill="1"/>
    <xf numFmtId="0" fontId="14" fillId="12" borderId="0" xfId="1" applyFont="1" applyFill="1"/>
    <xf numFmtId="0" fontId="14" fillId="2" borderId="0" xfId="1" applyFont="1" applyFill="1" applyAlignment="1">
      <alignment vertical="top" wrapText="1"/>
    </xf>
    <xf numFmtId="0" fontId="14" fillId="2" borderId="14" xfId="1" applyFont="1" applyFill="1" applyBorder="1" applyAlignment="1">
      <alignment horizontal="left" vertical="center" wrapText="1"/>
    </xf>
    <xf numFmtId="0" fontId="14" fillId="2" borderId="0" xfId="1" applyFont="1" applyFill="1" applyAlignment="1">
      <alignment horizontal="left" vertical="center" wrapText="1"/>
    </xf>
    <xf numFmtId="0" fontId="14" fillId="12" borderId="0" xfId="0" applyFont="1" applyFill="1" applyAlignment="1">
      <alignment vertical="center"/>
    </xf>
    <xf numFmtId="0" fontId="14" fillId="12" borderId="0" xfId="1" applyFont="1" applyFill="1" applyAlignment="1">
      <alignment vertical="center"/>
    </xf>
    <xf numFmtId="0" fontId="14" fillId="2" borderId="0" xfId="1" applyFont="1" applyFill="1" applyAlignment="1">
      <alignment vertical="center"/>
    </xf>
    <xf numFmtId="0" fontId="14" fillId="0" borderId="0" xfId="1" applyFont="1"/>
    <xf numFmtId="0" fontId="14" fillId="2" borderId="0" xfId="1" applyFont="1" applyFill="1" applyAlignment="1">
      <alignment vertical="top"/>
    </xf>
    <xf numFmtId="8" fontId="14" fillId="2" borderId="0" xfId="1" applyNumberFormat="1" applyFont="1" applyFill="1" applyAlignment="1">
      <alignment horizontal="right" vertical="center" wrapText="1"/>
    </xf>
    <xf numFmtId="0" fontId="14" fillId="2" borderId="16" xfId="1" applyFont="1" applyFill="1" applyBorder="1"/>
    <xf numFmtId="0" fontId="14" fillId="16" borderId="0" xfId="0" applyFont="1" applyFill="1"/>
    <xf numFmtId="0" fontId="14" fillId="16" borderId="0" xfId="0" applyFont="1" applyFill="1" applyAlignment="1">
      <alignment wrapText="1"/>
    </xf>
    <xf numFmtId="0" fontId="14" fillId="16" borderId="0" xfId="0" applyFont="1" applyFill="1" applyAlignment="1">
      <alignment horizontal="left"/>
    </xf>
    <xf numFmtId="0" fontId="14" fillId="2" borderId="0" xfId="0" applyFont="1" applyFill="1" applyAlignment="1">
      <alignment horizontal="right" vertical="center"/>
    </xf>
    <xf numFmtId="0" fontId="14" fillId="8" borderId="0" xfId="0" applyFont="1" applyFill="1" applyAlignment="1">
      <alignment horizontal="center"/>
    </xf>
    <xf numFmtId="0" fontId="14" fillId="2" borderId="0" xfId="0" applyFont="1" applyFill="1" applyAlignment="1">
      <alignment horizontal="left" vertical="center"/>
    </xf>
    <xf numFmtId="0" fontId="14" fillId="3" borderId="0" xfId="0" applyFont="1" applyFill="1" applyAlignment="1" applyProtection="1">
      <alignment wrapText="1"/>
      <protection locked="0"/>
    </xf>
    <xf numFmtId="0" fontId="14" fillId="8" borderId="0" xfId="0" applyFont="1" applyFill="1" applyAlignment="1">
      <alignment horizontal="center" wrapText="1"/>
    </xf>
    <xf numFmtId="0" fontId="14" fillId="2" borderId="9" xfId="0" applyFont="1" applyFill="1" applyBorder="1"/>
    <xf numFmtId="0" fontId="14" fillId="2" borderId="9" xfId="0" applyFont="1" applyFill="1" applyBorder="1" applyAlignment="1">
      <alignment wrapText="1"/>
    </xf>
    <xf numFmtId="0" fontId="14" fillId="3" borderId="0" xfId="0" applyFont="1" applyFill="1" applyAlignment="1" applyProtection="1">
      <alignment horizontal="center" wrapText="1"/>
      <protection locked="0"/>
    </xf>
    <xf numFmtId="0" fontId="14" fillId="3" borderId="19" xfId="0" applyFont="1" applyFill="1" applyBorder="1" applyProtection="1">
      <protection locked="0"/>
    </xf>
    <xf numFmtId="0" fontId="14" fillId="3" borderId="16" xfId="0" applyFont="1" applyFill="1" applyBorder="1" applyProtection="1">
      <protection locked="0"/>
    </xf>
    <xf numFmtId="0" fontId="13" fillId="8" borderId="16" xfId="0" applyFont="1" applyFill="1" applyBorder="1"/>
    <xf numFmtId="0" fontId="14" fillId="8" borderId="98" xfId="0" applyFont="1" applyFill="1" applyBorder="1" applyAlignment="1">
      <alignment wrapText="1"/>
    </xf>
    <xf numFmtId="0" fontId="14" fillId="16" borderId="0" xfId="0" applyFont="1" applyFill="1" applyAlignment="1">
      <alignment vertical="center" wrapText="1"/>
    </xf>
    <xf numFmtId="0" fontId="14" fillId="3" borderId="17" xfId="0" applyFont="1" applyFill="1" applyBorder="1" applyAlignment="1" applyProtection="1">
      <alignment wrapText="1"/>
      <protection locked="0"/>
    </xf>
    <xf numFmtId="0" fontId="14" fillId="16" borderId="0" xfId="0" applyFont="1" applyFill="1" applyAlignment="1">
      <alignment horizontal="right"/>
    </xf>
    <xf numFmtId="0" fontId="14" fillId="2" borderId="0" xfId="0" quotePrefix="1" applyFont="1" applyFill="1"/>
    <xf numFmtId="0" fontId="14" fillId="16" borderId="76" xfId="0" applyFont="1" applyFill="1" applyBorder="1"/>
    <xf numFmtId="0" fontId="14" fillId="16" borderId="79" xfId="0" applyFont="1" applyFill="1" applyBorder="1"/>
    <xf numFmtId="0" fontId="14" fillId="2" borderId="0" xfId="0" applyFont="1" applyFill="1" applyAlignment="1">
      <alignment horizontal="right" wrapText="1"/>
    </xf>
    <xf numFmtId="0" fontId="14" fillId="2" borderId="0" xfId="0" applyFont="1" applyFill="1" applyAlignment="1">
      <alignment horizontal="left" wrapText="1"/>
    </xf>
    <xf numFmtId="0" fontId="14" fillId="3" borderId="19" xfId="0" applyFont="1" applyFill="1" applyBorder="1" applyAlignment="1" applyProtection="1">
      <alignment wrapText="1"/>
      <protection locked="0"/>
    </xf>
    <xf numFmtId="0" fontId="14" fillId="16" borderId="84" xfId="0" applyFont="1" applyFill="1" applyBorder="1"/>
    <xf numFmtId="0" fontId="14" fillId="16" borderId="85" xfId="0" applyFont="1" applyFill="1" applyBorder="1"/>
    <xf numFmtId="0" fontId="14" fillId="16" borderId="0" xfId="0" applyFont="1" applyFill="1" applyAlignment="1">
      <alignment vertical="center"/>
    </xf>
    <xf numFmtId="0" fontId="14" fillId="16" borderId="81" xfId="0" applyFont="1" applyFill="1" applyBorder="1"/>
    <xf numFmtId="0" fontId="14" fillId="16" borderId="82" xfId="0" applyFont="1" applyFill="1" applyBorder="1"/>
    <xf numFmtId="0" fontId="14" fillId="16" borderId="82" xfId="0" applyFont="1" applyFill="1" applyBorder="1" applyAlignment="1">
      <alignment wrapText="1"/>
    </xf>
    <xf numFmtId="0" fontId="14" fillId="3" borderId="17" xfId="0" applyFont="1" applyFill="1" applyBorder="1" applyAlignment="1" applyProtection="1">
      <alignment horizontal="center" wrapText="1"/>
      <protection locked="0"/>
    </xf>
    <xf numFmtId="0" fontId="14" fillId="8" borderId="14" xfId="0" applyFont="1" applyFill="1" applyBorder="1" applyAlignment="1">
      <alignment wrapText="1"/>
    </xf>
    <xf numFmtId="0" fontId="14" fillId="11" borderId="0" xfId="1" applyFont="1" applyFill="1"/>
    <xf numFmtId="0" fontId="14" fillId="16" borderId="0" xfId="1" applyFont="1" applyFill="1"/>
    <xf numFmtId="0" fontId="14" fillId="13" borderId="15" xfId="1" applyFont="1" applyFill="1" applyBorder="1" applyAlignment="1">
      <alignment horizontal="left" vertical="center" wrapText="1"/>
    </xf>
    <xf numFmtId="2" fontId="14" fillId="0" borderId="0" xfId="0" applyNumberFormat="1" applyFont="1"/>
    <xf numFmtId="0" fontId="14" fillId="6" borderId="18" xfId="1" applyFont="1" applyFill="1" applyBorder="1" applyProtection="1">
      <protection locked="0"/>
    </xf>
    <xf numFmtId="0" fontId="14" fillId="0" borderId="32" xfId="0" applyFont="1" applyBorder="1"/>
    <xf numFmtId="2" fontId="14" fillId="0" borderId="0" xfId="1" applyNumberFormat="1" applyFont="1"/>
    <xf numFmtId="0" fontId="14" fillId="6" borderId="18" xfId="1" applyFont="1" applyFill="1" applyBorder="1" applyAlignment="1" applyProtection="1">
      <alignment wrapText="1"/>
      <protection locked="0"/>
    </xf>
    <xf numFmtId="0" fontId="14" fillId="0" borderId="32" xfId="1" applyFont="1" applyBorder="1" applyProtection="1">
      <protection locked="0"/>
    </xf>
    <xf numFmtId="0" fontId="14" fillId="0" borderId="0" xfId="1" applyFont="1" applyProtection="1">
      <protection locked="0"/>
    </xf>
    <xf numFmtId="0" fontId="14" fillId="0" borderId="88" xfId="0" applyFont="1" applyBorder="1"/>
    <xf numFmtId="0" fontId="14" fillId="15" borderId="0" xfId="1" applyFont="1" applyFill="1"/>
    <xf numFmtId="0" fontId="14" fillId="9" borderId="32" xfId="1" applyFont="1" applyFill="1" applyBorder="1"/>
    <xf numFmtId="2" fontId="14" fillId="9" borderId="32" xfId="1" applyNumberFormat="1" applyFont="1" applyFill="1" applyBorder="1"/>
    <xf numFmtId="0" fontId="14" fillId="9" borderId="39" xfId="1" applyFont="1" applyFill="1" applyBorder="1"/>
    <xf numFmtId="2" fontId="14" fillId="9" borderId="39" xfId="1" applyNumberFormat="1" applyFont="1" applyFill="1" applyBorder="1"/>
    <xf numFmtId="0" fontId="14" fillId="0" borderId="32" xfId="1" applyFont="1" applyBorder="1"/>
    <xf numFmtId="2" fontId="14" fillId="0" borderId="32" xfId="1" applyNumberFormat="1" applyFont="1" applyBorder="1"/>
    <xf numFmtId="0" fontId="14" fillId="15" borderId="32" xfId="1" applyFont="1" applyFill="1" applyBorder="1"/>
    <xf numFmtId="2" fontId="14" fillId="15" borderId="32" xfId="1" applyNumberFormat="1" applyFont="1" applyFill="1" applyBorder="1"/>
    <xf numFmtId="0" fontId="14" fillId="15" borderId="38" xfId="1" applyFont="1" applyFill="1" applyBorder="1"/>
    <xf numFmtId="2" fontId="14" fillId="15" borderId="38" xfId="1" applyNumberFormat="1" applyFont="1" applyFill="1" applyBorder="1"/>
    <xf numFmtId="0" fontId="14" fillId="0" borderId="0" xfId="1" applyFont="1" applyAlignment="1">
      <alignment horizontal="left" vertical="center" wrapText="1"/>
    </xf>
    <xf numFmtId="2" fontId="14" fillId="0" borderId="0" xfId="1" applyNumberFormat="1" applyFont="1" applyAlignment="1">
      <alignment horizontal="left" vertical="center" wrapText="1"/>
    </xf>
    <xf numFmtId="0" fontId="20" fillId="2" borderId="0" xfId="1" applyFont="1" applyFill="1" applyBorder="1" applyAlignment="1">
      <alignment horizontal="right" vertical="center" wrapText="1"/>
    </xf>
    <xf numFmtId="0" fontId="14" fillId="2" borderId="0" xfId="1" applyFont="1" applyFill="1" applyBorder="1" applyAlignment="1">
      <alignment horizontal="left" vertical="center" wrapText="1"/>
    </xf>
    <xf numFmtId="10" fontId="21" fillId="2" borderId="0" xfId="1" applyNumberFormat="1" applyFont="1" applyFill="1" applyBorder="1"/>
    <xf numFmtId="1" fontId="21" fillId="2" borderId="0" xfId="1" applyNumberFormat="1" applyFont="1" applyFill="1" applyBorder="1"/>
    <xf numFmtId="0" fontId="12" fillId="2" borderId="16" xfId="1" applyFont="1" applyFill="1" applyBorder="1" applyAlignment="1">
      <alignment horizontal="left" vertical="center" indent="3"/>
    </xf>
    <xf numFmtId="0" fontId="12" fillId="2" borderId="16" xfId="1" applyFont="1" applyFill="1" applyBorder="1" applyAlignment="1">
      <alignment horizontal="left" vertical="center" wrapText="1" indent="3"/>
    </xf>
    <xf numFmtId="0" fontId="12" fillId="2" borderId="0" xfId="1" applyFont="1" applyFill="1" applyAlignment="1">
      <alignment horizontal="right" vertical="top"/>
    </xf>
    <xf numFmtId="0" fontId="20" fillId="2" borderId="0" xfId="1" applyFont="1" applyFill="1" applyAlignment="1">
      <alignment horizontal="left" wrapText="1"/>
    </xf>
    <xf numFmtId="0" fontId="12" fillId="0" borderId="0" xfId="1" applyFont="1"/>
    <xf numFmtId="8" fontId="12" fillId="2" borderId="11" xfId="1" applyNumberFormat="1" applyFont="1" applyFill="1" applyBorder="1" applyAlignment="1">
      <alignment horizontal="left" vertical="center" wrapText="1"/>
    </xf>
    <xf numFmtId="10" fontId="21" fillId="2" borderId="16" xfId="1" applyNumberFormat="1" applyFont="1" applyFill="1" applyBorder="1"/>
    <xf numFmtId="10" fontId="21" fillId="2" borderId="13" xfId="1" applyNumberFormat="1" applyFont="1" applyFill="1" applyBorder="1"/>
    <xf numFmtId="10" fontId="21" fillId="8" borderId="14" xfId="1" applyNumberFormat="1" applyFont="1" applyFill="1" applyBorder="1" applyAlignment="1">
      <alignment vertical="center"/>
    </xf>
    <xf numFmtId="10" fontId="21" fillId="8" borderId="98" xfId="1" applyNumberFormat="1" applyFont="1" applyFill="1" applyBorder="1"/>
    <xf numFmtId="10" fontId="21" fillId="2" borderId="13" xfId="1" applyNumberFormat="1" applyFont="1" applyFill="1" applyBorder="1" applyAlignment="1">
      <alignment wrapText="1"/>
    </xf>
    <xf numFmtId="10" fontId="21" fillId="2" borderId="23" xfId="1" applyNumberFormat="1" applyFont="1" applyFill="1" applyBorder="1"/>
    <xf numFmtId="0" fontId="20" fillId="2" borderId="98" xfId="1" applyFont="1" applyFill="1" applyBorder="1" applyAlignment="1">
      <alignment wrapText="1"/>
    </xf>
    <xf numFmtId="0" fontId="20" fillId="2" borderId="98" xfId="1" applyFont="1" applyFill="1" applyBorder="1" applyAlignment="1">
      <alignment horizontal="left" wrapText="1"/>
    </xf>
    <xf numFmtId="0" fontId="20" fillId="12" borderId="23" xfId="1" applyFont="1" applyFill="1" applyBorder="1" applyAlignment="1">
      <alignment wrapText="1"/>
    </xf>
    <xf numFmtId="0" fontId="12" fillId="0" borderId="135" xfId="1" applyFont="1" applyBorder="1" applyAlignment="1">
      <alignment horizontal="right" vertical="center"/>
    </xf>
    <xf numFmtId="0" fontId="13" fillId="8" borderId="13" xfId="0" applyFont="1" applyFill="1" applyBorder="1"/>
    <xf numFmtId="0" fontId="14" fillId="16" borderId="12" xfId="0" applyFont="1" applyFill="1" applyBorder="1" applyAlignment="1">
      <alignment vertical="center" wrapText="1"/>
    </xf>
    <xf numFmtId="0" fontId="12" fillId="2" borderId="104" xfId="0" applyFont="1" applyFill="1" applyBorder="1" applyAlignment="1">
      <alignment vertical="top" wrapText="1"/>
    </xf>
    <xf numFmtId="0" fontId="14" fillId="2" borderId="0" xfId="0" applyFont="1" applyFill="1" applyBorder="1" applyProtection="1">
      <protection locked="0"/>
    </xf>
    <xf numFmtId="0" fontId="14" fillId="2" borderId="0" xfId="0" applyFont="1" applyFill="1" applyProtection="1">
      <protection locked="0"/>
    </xf>
    <xf numFmtId="0" fontId="12" fillId="0" borderId="0" xfId="0" applyFont="1"/>
    <xf numFmtId="0" fontId="51" fillId="2" borderId="14" xfId="0" applyFont="1" applyFill="1" applyBorder="1"/>
    <xf numFmtId="0" fontId="12" fillId="2" borderId="95" xfId="1" applyFont="1" applyFill="1" applyBorder="1"/>
    <xf numFmtId="0" fontId="12" fillId="2" borderId="93" xfId="1" applyFont="1" applyFill="1" applyBorder="1"/>
    <xf numFmtId="0" fontId="26" fillId="12" borderId="0" xfId="1" applyFont="1" applyFill="1"/>
    <xf numFmtId="0" fontId="20" fillId="2" borderId="0" xfId="0" applyFont="1" applyFill="1" applyAlignment="1">
      <alignment horizontal="right" wrapText="1"/>
    </xf>
    <xf numFmtId="0" fontId="70" fillId="2" borderId="0" xfId="0" applyFont="1" applyFill="1" applyAlignment="1">
      <alignment horizontal="right" vertical="top"/>
    </xf>
    <xf numFmtId="170" fontId="21" fillId="12" borderId="5" xfId="6" applyNumberFormat="1" applyFont="1" applyFill="1" applyBorder="1"/>
    <xf numFmtId="0" fontId="14" fillId="13" borderId="17" xfId="1" applyFont="1" applyFill="1" applyBorder="1"/>
    <xf numFmtId="0" fontId="17" fillId="13" borderId="14" xfId="1" applyFill="1" applyBorder="1"/>
    <xf numFmtId="0" fontId="20" fillId="2" borderId="0" xfId="1" applyFont="1" applyFill="1" applyAlignment="1">
      <alignment horizontal="left"/>
    </xf>
    <xf numFmtId="0" fontId="19" fillId="13" borderId="0" xfId="1" applyFont="1" applyFill="1"/>
    <xf numFmtId="0" fontId="19" fillId="13" borderId="17" xfId="1" applyFont="1" applyFill="1" applyBorder="1"/>
    <xf numFmtId="0" fontId="0" fillId="8" borderId="0" xfId="0" applyFill="1" applyAlignment="1">
      <alignment wrapText="1"/>
    </xf>
    <xf numFmtId="0" fontId="0" fillId="8" borderId="0" xfId="0" applyFill="1"/>
    <xf numFmtId="49" fontId="0" fillId="8" borderId="0" xfId="0" applyNumberFormat="1" applyFill="1"/>
    <xf numFmtId="0" fontId="35" fillId="8" borderId="0" xfId="0" applyFont="1" applyFill="1" applyAlignment="1">
      <alignment wrapText="1"/>
    </xf>
    <xf numFmtId="0" fontId="11" fillId="8" borderId="0" xfId="0" applyFont="1" applyFill="1"/>
    <xf numFmtId="49" fontId="11" fillId="8" borderId="0" xfId="0" applyNumberFormat="1" applyFont="1" applyFill="1"/>
    <xf numFmtId="0" fontId="11" fillId="8" borderId="0" xfId="0" applyFont="1" applyFill="1" applyAlignment="1">
      <alignment wrapText="1"/>
    </xf>
    <xf numFmtId="49" fontId="11" fillId="2" borderId="0" xfId="0" applyNumberFormat="1" applyFont="1" applyFill="1"/>
    <xf numFmtId="0" fontId="11" fillId="2" borderId="0" xfId="0" applyFont="1" applyFill="1" applyAlignment="1">
      <alignment wrapText="1"/>
    </xf>
    <xf numFmtId="49" fontId="11" fillId="2" borderId="0" xfId="0" applyNumberFormat="1" applyFont="1" applyFill="1" applyAlignment="1">
      <alignment wrapText="1"/>
    </xf>
    <xf numFmtId="0" fontId="11" fillId="2" borderId="0" xfId="0" applyFont="1" applyFill="1" applyAlignment="1">
      <alignment vertical="top" wrapText="1"/>
    </xf>
    <xf numFmtId="0" fontId="11" fillId="0" borderId="0" xfId="0" applyFont="1" applyFill="1" applyAlignment="1">
      <alignment wrapText="1"/>
    </xf>
    <xf numFmtId="49" fontId="11" fillId="8" borderId="0" xfId="0" applyNumberFormat="1" applyFont="1" applyFill="1" applyAlignment="1">
      <alignment wrapText="1"/>
    </xf>
    <xf numFmtId="0" fontId="11" fillId="2" borderId="0" xfId="0" applyFont="1" applyFill="1"/>
    <xf numFmtId="0" fontId="41" fillId="2" borderId="0" xfId="0" applyFont="1" applyFill="1" applyAlignment="1">
      <alignment wrapText="1"/>
    </xf>
    <xf numFmtId="44" fontId="20" fillId="12" borderId="0" xfId="4" applyFont="1" applyFill="1" applyAlignment="1">
      <alignment horizontal="right" vertical="center" wrapText="1"/>
    </xf>
    <xf numFmtId="0" fontId="21" fillId="17" borderId="17" xfId="0" applyFont="1" applyFill="1" applyBorder="1" applyAlignment="1">
      <alignment horizontal="right"/>
    </xf>
    <xf numFmtId="169" fontId="13" fillId="12" borderId="18" xfId="0" applyNumberFormat="1" applyFont="1" applyFill="1" applyBorder="1"/>
    <xf numFmtId="0" fontId="21" fillId="17" borderId="15" xfId="0" applyFont="1" applyFill="1" applyBorder="1" applyAlignment="1">
      <alignment horizontal="right"/>
    </xf>
    <xf numFmtId="170" fontId="21" fillId="12" borderId="118" xfId="6" applyNumberFormat="1" applyFont="1" applyFill="1" applyBorder="1"/>
    <xf numFmtId="0" fontId="21" fillId="17" borderId="137" xfId="0" applyFont="1" applyFill="1" applyBorder="1" applyAlignment="1">
      <alignment horizontal="right"/>
    </xf>
    <xf numFmtId="170" fontId="21" fillId="12" borderId="92" xfId="6" applyNumberFormat="1" applyFont="1" applyFill="1" applyBorder="1"/>
    <xf numFmtId="8" fontId="21" fillId="12" borderId="0" xfId="4" applyNumberFormat="1" applyFont="1" applyFill="1" applyAlignment="1">
      <alignment horizontal="right" vertical="center" wrapText="1"/>
    </xf>
    <xf numFmtId="0" fontId="10" fillId="0" borderId="0" xfId="1" applyFont="1"/>
    <xf numFmtId="0" fontId="27" fillId="2" borderId="0" xfId="1" applyFont="1" applyFill="1" applyAlignment="1">
      <alignment horizontal="right"/>
    </xf>
    <xf numFmtId="0" fontId="57" fillId="2" borderId="0" xfId="1" applyFont="1" applyFill="1" applyAlignment="1">
      <alignment vertical="center"/>
    </xf>
    <xf numFmtId="0" fontId="26" fillId="2" borderId="0" xfId="1" applyFont="1" applyFill="1" applyAlignment="1">
      <alignment horizontal="right"/>
    </xf>
    <xf numFmtId="0" fontId="21" fillId="2" borderId="0" xfId="1" applyFont="1" applyFill="1" applyAlignment="1">
      <alignment wrapText="1"/>
    </xf>
    <xf numFmtId="0" fontId="21" fillId="0" borderId="0" xfId="1" applyFont="1" applyAlignment="1">
      <alignment wrapText="1"/>
    </xf>
    <xf numFmtId="169" fontId="26" fillId="11" borderId="0" xfId="4" applyNumberFormat="1" applyFont="1" applyFill="1" applyBorder="1" applyAlignment="1" applyProtection="1">
      <alignment vertical="center"/>
    </xf>
    <xf numFmtId="169" fontId="26" fillId="2" borderId="0" xfId="4" applyNumberFormat="1" applyFont="1" applyFill="1" applyBorder="1" applyAlignment="1" applyProtection="1">
      <alignment vertical="center"/>
    </xf>
    <xf numFmtId="167" fontId="21" fillId="2" borderId="0" xfId="4" applyNumberFormat="1" applyFont="1" applyFill="1" applyAlignment="1" applyProtection="1">
      <alignment wrapText="1"/>
    </xf>
    <xf numFmtId="167" fontId="21" fillId="0" borderId="0" xfId="4" applyNumberFormat="1" applyFont="1" applyFill="1" applyAlignment="1" applyProtection="1">
      <alignment wrapText="1"/>
    </xf>
    <xf numFmtId="0" fontId="26" fillId="2" borderId="0" xfId="1" applyFont="1" applyFill="1" applyAlignment="1">
      <alignment horizontal="right" vertical="center"/>
    </xf>
    <xf numFmtId="0" fontId="26" fillId="11" borderId="0" xfId="1" applyFont="1" applyFill="1" applyAlignment="1">
      <alignment vertical="center"/>
    </xf>
    <xf numFmtId="0" fontId="10" fillId="12" borderId="0" xfId="1" applyFont="1" applyFill="1"/>
    <xf numFmtId="0" fontId="10" fillId="2" borderId="0" xfId="1" applyFont="1" applyFill="1"/>
    <xf numFmtId="169" fontId="21" fillId="2" borderId="0" xfId="4" applyNumberFormat="1" applyFont="1" applyFill="1" applyAlignment="1">
      <alignment vertical="center" wrapText="1"/>
    </xf>
    <xf numFmtId="0" fontId="26" fillId="2" borderId="0" xfId="1" applyFont="1" applyFill="1" applyAlignment="1">
      <alignment wrapText="1"/>
    </xf>
    <xf numFmtId="169" fontId="21" fillId="12" borderId="0" xfId="4" applyNumberFormat="1" applyFont="1" applyFill="1" applyAlignment="1" applyProtection="1">
      <alignment vertical="center" wrapText="1"/>
    </xf>
    <xf numFmtId="169" fontId="21" fillId="2" borderId="0" xfId="4" applyNumberFormat="1" applyFont="1" applyFill="1" applyAlignment="1" applyProtection="1">
      <alignment vertical="center" wrapText="1"/>
    </xf>
    <xf numFmtId="0" fontId="10" fillId="2" borderId="0" xfId="1" applyFont="1" applyFill="1" applyAlignment="1">
      <alignment vertical="center"/>
    </xf>
    <xf numFmtId="167" fontId="21" fillId="12" borderId="0" xfId="4" applyNumberFormat="1" applyFont="1" applyFill="1" applyAlignment="1" applyProtection="1">
      <alignment wrapText="1"/>
    </xf>
    <xf numFmtId="169" fontId="21" fillId="12" borderId="0" xfId="4" applyNumberFormat="1" applyFont="1" applyFill="1" applyAlignment="1" applyProtection="1"/>
    <xf numFmtId="169" fontId="21" fillId="2" borderId="0" xfId="4" applyNumberFormat="1" applyFont="1" applyFill="1" applyAlignment="1" applyProtection="1"/>
    <xf numFmtId="0" fontId="10" fillId="2" borderId="0" xfId="1" applyFont="1" applyFill="1" applyAlignment="1">
      <alignment horizontal="right"/>
    </xf>
    <xf numFmtId="0" fontId="26" fillId="12" borderId="0" xfId="1" applyFont="1" applyFill="1" applyAlignment="1">
      <alignment horizontal="right"/>
    </xf>
    <xf numFmtId="0" fontId="28" fillId="0" borderId="0" xfId="1" applyFont="1" applyAlignment="1">
      <alignment horizontal="right"/>
    </xf>
    <xf numFmtId="0" fontId="20" fillId="0" borderId="0" xfId="1" applyFont="1" applyAlignment="1">
      <alignment horizontal="right"/>
    </xf>
    <xf numFmtId="169" fontId="21" fillId="2" borderId="0" xfId="4" applyNumberFormat="1" applyFont="1" applyFill="1" applyBorder="1" applyAlignment="1" applyProtection="1">
      <alignment wrapText="1"/>
    </xf>
    <xf numFmtId="0" fontId="26" fillId="2" borderId="0" xfId="1" applyFont="1" applyFill="1"/>
    <xf numFmtId="169" fontId="21" fillId="12" borderId="0" xfId="4" applyNumberFormat="1" applyFont="1" applyFill="1" applyBorder="1" applyAlignment="1" applyProtection="1">
      <alignment vertical="center"/>
    </xf>
    <xf numFmtId="167" fontId="21" fillId="2" borderId="0" xfId="4" applyNumberFormat="1" applyFont="1" applyFill="1" applyBorder="1" applyAlignment="1" applyProtection="1">
      <alignment horizontal="center" wrapText="1"/>
    </xf>
    <xf numFmtId="167" fontId="21" fillId="2" borderId="0" xfId="4" applyNumberFormat="1" applyFont="1" applyFill="1" applyBorder="1" applyAlignment="1" applyProtection="1">
      <alignment horizontal="center" vertical="center" wrapText="1"/>
    </xf>
    <xf numFmtId="169" fontId="21" fillId="0" borderId="0" xfId="4" applyNumberFormat="1" applyFont="1" applyFill="1" applyBorder="1" applyAlignment="1" applyProtection="1">
      <alignment wrapText="1"/>
    </xf>
    <xf numFmtId="169" fontId="21" fillId="17" borderId="17" xfId="4" applyNumberFormat="1" applyFont="1" applyFill="1" applyBorder="1" applyAlignment="1" applyProtection="1">
      <alignment vertical="center" wrapText="1"/>
    </xf>
    <xf numFmtId="169" fontId="21" fillId="0" borderId="0" xfId="4" applyNumberFormat="1" applyFont="1" applyFill="1" applyAlignment="1" applyProtection="1">
      <alignment wrapText="1"/>
    </xf>
    <xf numFmtId="49" fontId="21" fillId="2" borderId="0" xfId="1" applyNumberFormat="1" applyFont="1" applyFill="1" applyAlignment="1">
      <alignment horizontal="right"/>
    </xf>
    <xf numFmtId="2" fontId="21" fillId="2" borderId="0" xfId="1" applyNumberFormat="1" applyFont="1" applyFill="1" applyAlignment="1">
      <alignment horizontal="center"/>
    </xf>
    <xf numFmtId="169" fontId="21" fillId="2" borderId="0" xfId="4" applyNumberFormat="1" applyFont="1" applyFill="1" applyAlignment="1" applyProtection="1">
      <alignment wrapText="1"/>
    </xf>
    <xf numFmtId="49" fontId="21" fillId="2" borderId="14" xfId="1" applyNumberFormat="1" applyFont="1" applyFill="1" applyBorder="1" applyAlignment="1">
      <alignment horizontal="right"/>
    </xf>
    <xf numFmtId="167" fontId="21" fillId="2" borderId="0" xfId="4" applyNumberFormat="1" applyFont="1" applyFill="1" applyAlignment="1" applyProtection="1">
      <alignment horizontal="center" wrapText="1"/>
    </xf>
    <xf numFmtId="169" fontId="21" fillId="12" borderId="0" xfId="4" applyNumberFormat="1" applyFont="1" applyFill="1" applyAlignment="1" applyProtection="1">
      <alignment vertical="center"/>
    </xf>
    <xf numFmtId="169" fontId="21" fillId="2" borderId="0" xfId="4" applyNumberFormat="1" applyFont="1" applyFill="1" applyAlignment="1" applyProtection="1">
      <alignment vertical="center"/>
    </xf>
    <xf numFmtId="0" fontId="26" fillId="2" borderId="0" xfId="1" applyFont="1" applyFill="1" applyAlignment="1">
      <alignment horizontal="right" wrapText="1"/>
    </xf>
    <xf numFmtId="2" fontId="21" fillId="2" borderId="0" xfId="1" applyNumberFormat="1" applyFont="1" applyFill="1"/>
    <xf numFmtId="0" fontId="10" fillId="16" borderId="0" xfId="1" applyFont="1" applyFill="1"/>
    <xf numFmtId="0" fontId="10" fillId="2" borderId="0" xfId="0" applyFont="1" applyFill="1" applyAlignment="1">
      <alignment horizontal="left"/>
    </xf>
    <xf numFmtId="0" fontId="21" fillId="2" borderId="0" xfId="1" applyFont="1" applyFill="1" applyBorder="1"/>
    <xf numFmtId="169" fontId="20" fillId="14" borderId="0" xfId="1" applyNumberFormat="1" applyFont="1" applyFill="1" applyAlignment="1"/>
    <xf numFmtId="169" fontId="26" fillId="14" borderId="0" xfId="1" applyNumberFormat="1" applyFont="1" applyFill="1" applyAlignment="1"/>
    <xf numFmtId="169" fontId="26" fillId="2" borderId="0" xfId="1" applyNumberFormat="1" applyFont="1" applyFill="1" applyAlignment="1"/>
    <xf numFmtId="0" fontId="21" fillId="2" borderId="0" xfId="1" applyFont="1" applyFill="1" applyAlignment="1"/>
    <xf numFmtId="49" fontId="21" fillId="2" borderId="14" xfId="1" applyNumberFormat="1" applyFont="1" applyFill="1" applyBorder="1" applyAlignment="1">
      <alignment horizontal="right" vertical="center"/>
    </xf>
    <xf numFmtId="0" fontId="21" fillId="2" borderId="14" xfId="1" applyFont="1" applyFill="1" applyBorder="1" applyAlignment="1">
      <alignment vertical="center"/>
    </xf>
    <xf numFmtId="169" fontId="26" fillId="16" borderId="14" xfId="1" applyNumberFormat="1" applyFont="1" applyFill="1" applyBorder="1" applyAlignment="1">
      <alignment vertical="center"/>
    </xf>
    <xf numFmtId="43" fontId="21" fillId="14" borderId="0" xfId="6" applyFont="1" applyFill="1" applyAlignment="1">
      <alignment horizontal="center"/>
    </xf>
    <xf numFmtId="43" fontId="21" fillId="14" borderId="14" xfId="6" applyFont="1" applyFill="1" applyBorder="1" applyAlignment="1">
      <alignment horizontal="center"/>
    </xf>
    <xf numFmtId="169" fontId="26" fillId="2" borderId="0" xfId="1" applyNumberFormat="1" applyFont="1" applyFill="1" applyBorder="1" applyAlignment="1"/>
    <xf numFmtId="169" fontId="20" fillId="2" borderId="0" xfId="1" applyNumberFormat="1" applyFont="1" applyFill="1" applyBorder="1" applyAlignment="1"/>
    <xf numFmtId="0" fontId="26" fillId="12" borderId="0" xfId="1" applyFont="1" applyFill="1" applyAlignment="1">
      <alignment horizontal="left"/>
    </xf>
    <xf numFmtId="169" fontId="21" fillId="2" borderId="0" xfId="4" applyNumberFormat="1" applyFont="1" applyFill="1" applyBorder="1" applyAlignment="1" applyProtection="1">
      <alignment vertical="center" wrapText="1"/>
    </xf>
    <xf numFmtId="169" fontId="21" fillId="2" borderId="0" xfId="4" applyNumberFormat="1" applyFont="1" applyFill="1" applyBorder="1" applyAlignment="1" applyProtection="1">
      <alignment vertical="center"/>
    </xf>
    <xf numFmtId="0" fontId="26" fillId="2" borderId="0" xfId="1" applyFont="1" applyFill="1" applyAlignment="1">
      <alignment horizontal="left"/>
    </xf>
    <xf numFmtId="43" fontId="21" fillId="16" borderId="14" xfId="6" applyFont="1" applyFill="1" applyBorder="1" applyAlignment="1">
      <alignment horizontal="center" vertical="center"/>
    </xf>
    <xf numFmtId="43" fontId="21" fillId="16" borderId="0" xfId="6" applyFont="1" applyFill="1" applyAlignment="1">
      <alignment horizontal="center"/>
    </xf>
    <xf numFmtId="0" fontId="10" fillId="2" borderId="0" xfId="1" applyFont="1" applyFill="1" applyAlignment="1">
      <alignment horizontal="left"/>
    </xf>
    <xf numFmtId="0" fontId="83" fillId="0" borderId="0" xfId="1" applyFont="1" applyAlignment="1">
      <alignment horizontal="center" vertical="center" wrapText="1"/>
    </xf>
    <xf numFmtId="167" fontId="21" fillId="12" borderId="0" xfId="4" applyNumberFormat="1" applyFont="1" applyFill="1" applyBorder="1" applyAlignment="1" applyProtection="1">
      <alignment vertical="center" wrapText="1"/>
    </xf>
    <xf numFmtId="167" fontId="21" fillId="0" borderId="0" xfId="4" applyNumberFormat="1" applyFont="1" applyFill="1" applyBorder="1" applyAlignment="1" applyProtection="1">
      <alignment vertical="center" wrapText="1"/>
    </xf>
    <xf numFmtId="0" fontId="21" fillId="2" borderId="0" xfId="1" applyFont="1" applyFill="1" applyBorder="1" applyAlignment="1">
      <alignment horizontal="left" vertical="center"/>
    </xf>
    <xf numFmtId="0" fontId="21" fillId="0" borderId="0" xfId="1" applyFont="1" applyBorder="1"/>
    <xf numFmtId="0" fontId="21" fillId="2" borderId="0" xfId="1" applyFont="1" applyFill="1" applyBorder="1" applyAlignment="1">
      <alignment horizontal="left"/>
    </xf>
    <xf numFmtId="0" fontId="21" fillId="8" borderId="98" xfId="1" applyFont="1" applyFill="1" applyBorder="1" applyAlignment="1">
      <alignment wrapText="1"/>
    </xf>
    <xf numFmtId="0" fontId="16" fillId="0" borderId="14" xfId="1" applyFont="1" applyBorder="1"/>
    <xf numFmtId="0" fontId="83" fillId="0" borderId="14" xfId="1" applyFont="1" applyBorder="1" applyAlignment="1">
      <alignment horizontal="center" wrapText="1"/>
    </xf>
    <xf numFmtId="0" fontId="9" fillId="2" borderId="14" xfId="0" applyFont="1" applyFill="1" applyBorder="1" applyAlignment="1">
      <alignment horizontal="left"/>
    </xf>
    <xf numFmtId="0" fontId="14" fillId="12" borderId="0" xfId="0" applyFont="1" applyFill="1" applyAlignment="1">
      <alignment horizontal="right"/>
    </xf>
    <xf numFmtId="0" fontId="9" fillId="2" borderId="0" xfId="0" applyFont="1" applyFill="1"/>
    <xf numFmtId="0" fontId="9" fillId="2" borderId="0" xfId="0" applyFont="1" applyFill="1" applyBorder="1"/>
    <xf numFmtId="0" fontId="14" fillId="3" borderId="98" xfId="0" applyFont="1" applyFill="1" applyBorder="1" applyProtection="1">
      <protection locked="0"/>
    </xf>
    <xf numFmtId="0" fontId="9" fillId="2" borderId="98" xfId="0" applyFont="1" applyFill="1" applyBorder="1" applyAlignment="1">
      <alignment horizontal="left"/>
    </xf>
    <xf numFmtId="0" fontId="9" fillId="2" borderId="7" xfId="0" applyFont="1" applyFill="1" applyBorder="1" applyAlignment="1" applyProtection="1">
      <alignment horizontal="right" vertical="center"/>
      <protection locked="0"/>
    </xf>
    <xf numFmtId="0" fontId="13" fillId="10" borderId="24" xfId="0" applyFont="1" applyFill="1" applyBorder="1" applyAlignment="1" applyProtection="1">
      <alignment vertical="center"/>
    </xf>
    <xf numFmtId="0" fontId="21" fillId="11" borderId="14" xfId="1" applyFont="1" applyFill="1" applyBorder="1" applyAlignment="1" applyProtection="1">
      <alignment vertical="center"/>
    </xf>
    <xf numFmtId="0" fontId="14" fillId="10" borderId="134" xfId="0" applyFont="1" applyFill="1" applyBorder="1" applyAlignment="1">
      <alignment horizontal="center" vertical="center"/>
    </xf>
    <xf numFmtId="0" fontId="22" fillId="2" borderId="14" xfId="0" applyFont="1" applyFill="1" applyBorder="1" applyAlignment="1">
      <alignment horizontal="right"/>
    </xf>
    <xf numFmtId="0" fontId="22" fillId="3" borderId="24" xfId="0" applyFont="1" applyFill="1" applyBorder="1" applyProtection="1">
      <protection locked="0"/>
    </xf>
    <xf numFmtId="0" fontId="26" fillId="2" borderId="0" xfId="1" applyFont="1" applyFill="1" applyAlignment="1">
      <alignment vertical="center"/>
    </xf>
    <xf numFmtId="0" fontId="21" fillId="2" borderId="0" xfId="1" applyFont="1" applyFill="1" applyBorder="1" applyAlignment="1"/>
    <xf numFmtId="0" fontId="21" fillId="8" borderId="14" xfId="1" applyFont="1" applyFill="1" applyBorder="1" applyAlignment="1">
      <alignment wrapText="1"/>
    </xf>
    <xf numFmtId="1" fontId="21" fillId="8" borderId="98" xfId="6" applyNumberFormat="1" applyFont="1" applyFill="1" applyBorder="1" applyAlignment="1" applyProtection="1">
      <alignment vertical="center" wrapText="1"/>
    </xf>
    <xf numFmtId="0" fontId="67" fillId="2" borderId="0" xfId="1" applyFont="1" applyFill="1" applyAlignment="1">
      <alignment horizontal="right" vertical="center"/>
    </xf>
    <xf numFmtId="169" fontId="67" fillId="12" borderId="24" xfId="4" applyNumberFormat="1" applyFont="1" applyFill="1" applyBorder="1" applyAlignment="1">
      <alignment vertical="center" wrapText="1"/>
    </xf>
    <xf numFmtId="169" fontId="67" fillId="12" borderId="24" xfId="4" applyNumberFormat="1" applyFont="1" applyFill="1" applyBorder="1" applyAlignment="1" applyProtection="1">
      <alignment vertical="center" wrapText="1"/>
    </xf>
    <xf numFmtId="0" fontId="67" fillId="2" borderId="0" xfId="1" applyFont="1" applyFill="1" applyAlignment="1">
      <alignment horizontal="left" vertical="center"/>
    </xf>
    <xf numFmtId="0" fontId="67" fillId="2" borderId="0" xfId="1" applyFont="1" applyFill="1" applyAlignment="1">
      <alignment horizontal="right" wrapText="1"/>
    </xf>
    <xf numFmtId="169" fontId="67" fillId="17" borderId="24" xfId="4" applyNumberFormat="1" applyFont="1" applyFill="1" applyBorder="1" applyAlignment="1" applyProtection="1">
      <alignment vertical="center"/>
    </xf>
    <xf numFmtId="169" fontId="67" fillId="12" borderId="22" xfId="4" applyNumberFormat="1" applyFont="1" applyFill="1" applyBorder="1" applyAlignment="1" applyProtection="1">
      <alignment vertical="center"/>
    </xf>
    <xf numFmtId="169" fontId="67" fillId="16" borderId="24" xfId="1" applyNumberFormat="1" applyFont="1" applyFill="1" applyBorder="1" applyAlignment="1"/>
    <xf numFmtId="0" fontId="67" fillId="2" borderId="0" xfId="1" applyFont="1" applyFill="1" applyAlignment="1">
      <alignment wrapText="1"/>
    </xf>
    <xf numFmtId="169" fontId="67" fillId="11" borderId="120" xfId="4" applyNumberFormat="1" applyFont="1" applyFill="1" applyBorder="1" applyAlignment="1" applyProtection="1">
      <alignment vertical="center"/>
    </xf>
    <xf numFmtId="169" fontId="67" fillId="11" borderId="22" xfId="4" applyNumberFormat="1" applyFont="1" applyFill="1" applyBorder="1" applyAlignment="1" applyProtection="1">
      <alignment vertical="center"/>
    </xf>
    <xf numFmtId="0" fontId="20" fillId="0" borderId="0" xfId="1" applyFont="1" applyBorder="1" applyAlignment="1">
      <alignment horizontal="left"/>
    </xf>
    <xf numFmtId="169" fontId="26" fillId="8" borderId="0" xfId="4" applyNumberFormat="1" applyFont="1" applyFill="1" applyBorder="1" applyAlignment="1">
      <alignment vertical="center"/>
    </xf>
    <xf numFmtId="0" fontId="16" fillId="0" borderId="0" xfId="1" applyFont="1" applyBorder="1"/>
    <xf numFmtId="0" fontId="83" fillId="0" borderId="0" xfId="1" applyFont="1" applyBorder="1" applyAlignment="1">
      <alignment horizontal="right" wrapText="1"/>
    </xf>
    <xf numFmtId="0" fontId="16" fillId="0" borderId="0" xfId="1" applyFont="1" applyBorder="1" applyAlignment="1">
      <alignment horizontal="left"/>
    </xf>
    <xf numFmtId="169" fontId="26" fillId="11" borderId="0" xfId="4" applyNumberFormat="1" applyFont="1" applyFill="1" applyBorder="1" applyAlignment="1" applyProtection="1">
      <alignment vertical="center" wrapText="1"/>
    </xf>
    <xf numFmtId="0" fontId="26" fillId="2" borderId="0" xfId="1" applyFont="1" applyFill="1" applyBorder="1" applyAlignment="1">
      <alignment horizontal="left" vertical="center"/>
    </xf>
    <xf numFmtId="0" fontId="9" fillId="2" borderId="0" xfId="1" applyFont="1" applyFill="1"/>
    <xf numFmtId="0" fontId="21" fillId="2" borderId="52" xfId="1" applyFont="1" applyFill="1" applyBorder="1"/>
    <xf numFmtId="0" fontId="21" fillId="2" borderId="53" xfId="1" applyFont="1" applyFill="1" applyBorder="1"/>
    <xf numFmtId="0" fontId="10" fillId="0" borderId="52" xfId="1" applyFont="1" applyBorder="1"/>
    <xf numFmtId="0" fontId="21" fillId="2" borderId="53" xfId="1" applyFont="1" applyFill="1" applyBorder="1" applyAlignment="1" applyProtection="1">
      <alignment vertical="center"/>
      <protection locked="0"/>
    </xf>
    <xf numFmtId="0" fontId="21" fillId="2" borderId="54" xfId="1" applyFont="1" applyFill="1" applyBorder="1"/>
    <xf numFmtId="169" fontId="26" fillId="2" borderId="55" xfId="4" applyNumberFormat="1" applyFont="1" applyFill="1" applyBorder="1" applyAlignment="1" applyProtection="1">
      <alignment vertical="center" wrapText="1"/>
    </xf>
    <xf numFmtId="0" fontId="26" fillId="2" borderId="55" xfId="1" applyFont="1" applyFill="1" applyBorder="1" applyAlignment="1">
      <alignment vertical="center"/>
    </xf>
    <xf numFmtId="0" fontId="26" fillId="2" borderId="55" xfId="1" applyFont="1" applyFill="1" applyBorder="1" applyAlignment="1">
      <alignment horizontal="left" vertical="center"/>
    </xf>
    <xf numFmtId="0" fontId="21" fillId="2" borderId="56" xfId="1" applyFont="1" applyFill="1" applyBorder="1"/>
    <xf numFmtId="0" fontId="21" fillId="11" borderId="0" xfId="1" applyFont="1" applyFill="1"/>
    <xf numFmtId="0" fontId="9" fillId="8" borderId="0" xfId="0" applyFont="1" applyFill="1" applyAlignment="1"/>
    <xf numFmtId="0" fontId="9" fillId="11" borderId="14" xfId="1" applyFont="1" applyFill="1" applyBorder="1"/>
    <xf numFmtId="0" fontId="9" fillId="2" borderId="0" xfId="1" applyFont="1" applyFill="1" applyAlignment="1">
      <alignment horizontal="right"/>
    </xf>
    <xf numFmtId="0" fontId="9" fillId="11" borderId="98" xfId="1" applyFont="1" applyFill="1" applyBorder="1"/>
    <xf numFmtId="0" fontId="20" fillId="2" borderId="14" xfId="1" applyFont="1" applyFill="1" applyBorder="1" applyAlignment="1">
      <alignment horizontal="left"/>
    </xf>
    <xf numFmtId="0" fontId="60" fillId="2" borderId="0" xfId="1" applyFont="1" applyFill="1" applyAlignment="1">
      <alignment vertical="center" wrapText="1"/>
    </xf>
    <xf numFmtId="0" fontId="67" fillId="2" borderId="20" xfId="1" applyFont="1" applyFill="1" applyBorder="1" applyAlignment="1">
      <alignment horizontal="left" vertical="center"/>
    </xf>
    <xf numFmtId="2" fontId="26" fillId="2" borderId="0" xfId="1" applyNumberFormat="1" applyFont="1" applyFill="1" applyAlignment="1">
      <alignment horizontal="left"/>
    </xf>
    <xf numFmtId="0" fontId="20" fillId="2" borderId="0" xfId="1" applyFont="1" applyFill="1" applyAlignment="1"/>
    <xf numFmtId="0" fontId="9" fillId="11" borderId="0" xfId="1" applyFont="1" applyFill="1" applyAlignment="1"/>
    <xf numFmtId="0" fontId="9" fillId="0" borderId="0" xfId="1" applyFont="1" applyAlignment="1"/>
    <xf numFmtId="0" fontId="9" fillId="2" borderId="0" xfId="1" applyFont="1" applyFill="1" applyAlignment="1"/>
    <xf numFmtId="0" fontId="26" fillId="2" borderId="0" xfId="1" applyFont="1" applyFill="1" applyAlignment="1">
      <alignment horizontal="center" vertical="center"/>
    </xf>
    <xf numFmtId="0" fontId="9" fillId="2" borderId="0" xfId="0" applyFont="1" applyFill="1" applyAlignment="1"/>
    <xf numFmtId="0" fontId="27" fillId="2" borderId="0" xfId="1" applyFont="1" applyFill="1" applyAlignment="1"/>
    <xf numFmtId="0" fontId="26" fillId="2" borderId="0" xfId="1" applyFont="1" applyFill="1" applyAlignment="1"/>
    <xf numFmtId="0" fontId="26" fillId="11" borderId="0" xfId="1" applyFont="1" applyFill="1" applyAlignment="1"/>
    <xf numFmtId="167" fontId="21" fillId="2" borderId="0" xfId="4" applyNumberFormat="1" applyFont="1" applyFill="1" applyAlignment="1" applyProtection="1"/>
    <xf numFmtId="0" fontId="21" fillId="12" borderId="0" xfId="1" applyFont="1" applyFill="1" applyAlignment="1"/>
    <xf numFmtId="0" fontId="26" fillId="12" borderId="0" xfId="1" applyFont="1" applyFill="1" applyAlignment="1"/>
    <xf numFmtId="0" fontId="20" fillId="11" borderId="0" xfId="1" applyFont="1" applyFill="1" applyAlignment="1"/>
    <xf numFmtId="0" fontId="21" fillId="16" borderId="0" xfId="1" applyFont="1" applyFill="1" applyAlignment="1"/>
    <xf numFmtId="169" fontId="21" fillId="2" borderId="0" xfId="4" applyNumberFormat="1" applyFont="1" applyFill="1" applyBorder="1" applyAlignment="1" applyProtection="1"/>
    <xf numFmtId="164" fontId="21" fillId="2" borderId="0" xfId="1" applyNumberFormat="1" applyFont="1" applyFill="1" applyAlignment="1"/>
    <xf numFmtId="0" fontId="27" fillId="16" borderId="0" xfId="1" applyFont="1" applyFill="1" applyAlignment="1"/>
    <xf numFmtId="9" fontId="9" fillId="2" borderId="0" xfId="2" applyFont="1" applyFill="1" applyAlignment="1" applyProtection="1"/>
    <xf numFmtId="0" fontId="21" fillId="2" borderId="21" xfId="1" applyFont="1" applyFill="1" applyBorder="1"/>
    <xf numFmtId="2" fontId="67" fillId="8" borderId="24" xfId="1" applyNumberFormat="1" applyFont="1" applyFill="1" applyBorder="1" applyAlignment="1">
      <alignment horizontal="center" vertical="center"/>
    </xf>
    <xf numFmtId="0" fontId="21" fillId="2" borderId="21" xfId="1" applyFont="1" applyFill="1" applyBorder="1" applyAlignment="1" applyProtection="1">
      <alignment vertical="center"/>
      <protection locked="0"/>
    </xf>
    <xf numFmtId="169" fontId="26" fillId="2" borderId="0" xfId="4" applyNumberFormat="1" applyFont="1" applyFill="1" applyAlignment="1" applyProtection="1">
      <alignment vertical="center"/>
    </xf>
    <xf numFmtId="169" fontId="26" fillId="2" borderId="0" xfId="4" applyNumberFormat="1" applyFont="1" applyFill="1" applyAlignment="1">
      <alignment vertical="center"/>
    </xf>
    <xf numFmtId="0" fontId="21" fillId="17" borderId="0" xfId="1" applyFont="1" applyFill="1" applyAlignment="1"/>
    <xf numFmtId="0" fontId="9" fillId="17" borderId="0" xfId="1" applyFont="1" applyFill="1" applyAlignment="1"/>
    <xf numFmtId="0" fontId="26" fillId="17" borderId="0" xfId="1" applyFont="1" applyFill="1" applyAlignment="1"/>
    <xf numFmtId="0" fontId="27" fillId="17" borderId="0" xfId="1" applyFont="1" applyFill="1" applyAlignment="1"/>
    <xf numFmtId="167" fontId="21" fillId="2" borderId="0" xfId="4" applyNumberFormat="1" applyFont="1" applyFill="1" applyBorder="1" applyAlignment="1" applyProtection="1"/>
    <xf numFmtId="0" fontId="26" fillId="12" borderId="0" xfId="1" applyFont="1" applyFill="1" applyBorder="1" applyAlignment="1">
      <alignment horizontal="right"/>
    </xf>
    <xf numFmtId="165" fontId="27" fillId="2" borderId="0" xfId="2" applyNumberFormat="1" applyFont="1" applyFill="1" applyAlignment="1" applyProtection="1"/>
    <xf numFmtId="0" fontId="65" fillId="2" borderId="0" xfId="1" applyFont="1" applyFill="1"/>
    <xf numFmtId="0" fontId="65" fillId="11" borderId="0" xfId="1" applyFont="1" applyFill="1"/>
    <xf numFmtId="0" fontId="21" fillId="11" borderId="0" xfId="1" applyFont="1" applyFill="1" applyAlignment="1"/>
    <xf numFmtId="0" fontId="21" fillId="11" borderId="0" xfId="1" applyFont="1" applyFill="1" applyBorder="1" applyAlignment="1"/>
    <xf numFmtId="169" fontId="21" fillId="11" borderId="0" xfId="4" applyNumberFormat="1" applyFont="1" applyFill="1" applyBorder="1" applyAlignment="1" applyProtection="1"/>
    <xf numFmtId="169" fontId="21" fillId="11" borderId="0" xfId="4" applyNumberFormat="1" applyFont="1" applyFill="1" applyAlignment="1" applyProtection="1"/>
    <xf numFmtId="0" fontId="28" fillId="2" borderId="0" xfId="1" applyFont="1" applyFill="1" applyAlignment="1">
      <alignment horizontal="right"/>
    </xf>
    <xf numFmtId="0" fontId="20" fillId="17" borderId="14" xfId="1" applyFont="1" applyFill="1" applyBorder="1" applyAlignment="1">
      <alignment horizontal="left" vertical="center" wrapText="1"/>
    </xf>
    <xf numFmtId="10" fontId="26" fillId="2" borderId="23" xfId="1" applyNumberFormat="1" applyFont="1" applyFill="1" applyBorder="1" applyAlignment="1">
      <alignment vertical="center" wrapText="1"/>
    </xf>
    <xf numFmtId="8" fontId="26" fillId="12" borderId="98" xfId="4" applyNumberFormat="1" applyFont="1" applyFill="1" applyBorder="1" applyAlignment="1">
      <alignment horizontal="right" vertical="center" wrapText="1"/>
    </xf>
    <xf numFmtId="44" fontId="9" fillId="12" borderId="136" xfId="4" applyFont="1" applyFill="1" applyBorder="1" applyAlignment="1">
      <alignment vertical="center"/>
    </xf>
    <xf numFmtId="0" fontId="18" fillId="0" borderId="0" xfId="1" applyFont="1" applyAlignment="1"/>
    <xf numFmtId="169" fontId="18" fillId="16" borderId="24" xfId="1" applyNumberFormat="1" applyFont="1" applyFill="1" applyBorder="1" applyAlignment="1"/>
    <xf numFmtId="0" fontId="18" fillId="0" borderId="20" xfId="1" applyFont="1" applyBorder="1" applyAlignment="1"/>
    <xf numFmtId="0" fontId="65" fillId="11" borderId="55" xfId="1" applyFont="1" applyFill="1" applyBorder="1"/>
    <xf numFmtId="0" fontId="16" fillId="11" borderId="55" xfId="1" applyFont="1" applyFill="1" applyBorder="1"/>
    <xf numFmtId="0" fontId="21" fillId="11" borderId="55" xfId="1" applyFont="1" applyFill="1" applyBorder="1"/>
    <xf numFmtId="0" fontId="21" fillId="11" borderId="54" xfId="1" applyFont="1" applyFill="1" applyBorder="1"/>
    <xf numFmtId="0" fontId="21" fillId="11" borderId="52" xfId="1" applyFont="1" applyFill="1" applyBorder="1" applyAlignment="1"/>
    <xf numFmtId="0" fontId="26" fillId="11" borderId="52" xfId="1" applyFont="1" applyFill="1" applyBorder="1" applyAlignment="1"/>
    <xf numFmtId="0" fontId="26" fillId="11" borderId="52" xfId="1" applyFont="1" applyFill="1" applyBorder="1" applyAlignment="1">
      <alignment vertical="center"/>
    </xf>
    <xf numFmtId="0" fontId="28" fillId="11" borderId="53" xfId="1" applyFont="1" applyFill="1" applyBorder="1" applyAlignment="1">
      <alignment horizontal="right"/>
    </xf>
    <xf numFmtId="0" fontId="20" fillId="11" borderId="53" xfId="1" applyFont="1" applyFill="1" applyBorder="1" applyAlignment="1">
      <alignment horizontal="right"/>
    </xf>
    <xf numFmtId="0" fontId="9" fillId="11" borderId="53" xfId="1" applyFont="1" applyFill="1" applyBorder="1" applyAlignment="1"/>
    <xf numFmtId="0" fontId="9" fillId="11" borderId="55" xfId="1" applyFont="1" applyFill="1" applyBorder="1" applyAlignment="1"/>
    <xf numFmtId="0" fontId="21" fillId="12" borderId="138" xfId="1" applyFont="1" applyFill="1" applyBorder="1" applyAlignment="1"/>
    <xf numFmtId="0" fontId="21" fillId="12" borderId="139" xfId="1" applyFont="1" applyFill="1" applyBorder="1" applyAlignment="1"/>
    <xf numFmtId="0" fontId="26" fillId="12" borderId="141" xfId="1" applyFont="1" applyFill="1" applyBorder="1" applyAlignment="1">
      <alignment horizontal="left"/>
    </xf>
    <xf numFmtId="0" fontId="21" fillId="12" borderId="141" xfId="1" applyFont="1" applyFill="1" applyBorder="1" applyAlignment="1"/>
    <xf numFmtId="0" fontId="21" fillId="12" borderId="140" xfId="1" applyFont="1" applyFill="1" applyBorder="1" applyAlignment="1"/>
    <xf numFmtId="0" fontId="21" fillId="12" borderId="142" xfId="1" applyFont="1" applyFill="1" applyBorder="1" applyAlignment="1"/>
    <xf numFmtId="0" fontId="26" fillId="12" borderId="141" xfId="1" applyFont="1" applyFill="1" applyBorder="1"/>
    <xf numFmtId="0" fontId="10" fillId="12" borderId="141" xfId="1" applyFont="1" applyFill="1" applyBorder="1"/>
    <xf numFmtId="0" fontId="10" fillId="12" borderId="141" xfId="1" applyFont="1" applyFill="1" applyBorder="1" applyAlignment="1">
      <alignment vertical="center"/>
    </xf>
    <xf numFmtId="0" fontId="26" fillId="16" borderId="143" xfId="1" applyFont="1" applyFill="1" applyBorder="1"/>
    <xf numFmtId="0" fontId="21" fillId="16" borderId="143" xfId="1" applyFont="1" applyFill="1" applyBorder="1" applyAlignment="1"/>
    <xf numFmtId="0" fontId="27" fillId="16" borderId="143" xfId="1" applyFont="1" applyFill="1" applyBorder="1" applyAlignment="1"/>
    <xf numFmtId="0" fontId="26" fillId="16" borderId="80" xfId="1" applyFont="1" applyFill="1" applyBorder="1"/>
    <xf numFmtId="0" fontId="21" fillId="16" borderId="80" xfId="1" applyFont="1" applyFill="1" applyBorder="1"/>
    <xf numFmtId="0" fontId="10" fillId="16" borderId="80" xfId="1" applyFont="1" applyFill="1" applyBorder="1"/>
    <xf numFmtId="0" fontId="14" fillId="16" borderId="80" xfId="1" applyFont="1" applyFill="1" applyBorder="1"/>
    <xf numFmtId="0" fontId="21" fillId="12" borderId="141" xfId="1" applyFont="1" applyFill="1" applyBorder="1"/>
    <xf numFmtId="0" fontId="14" fillId="12" borderId="141" xfId="1" applyFont="1" applyFill="1" applyBorder="1"/>
    <xf numFmtId="0" fontId="14" fillId="11" borderId="55" xfId="1" applyFont="1" applyFill="1" applyBorder="1"/>
    <xf numFmtId="0" fontId="14" fillId="3" borderId="0" xfId="0"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0" fontId="14" fillId="3" borderId="19" xfId="0" applyFont="1" applyFill="1" applyBorder="1" applyAlignment="1" applyProtection="1">
      <alignment vertical="center"/>
      <protection locked="0"/>
    </xf>
    <xf numFmtId="0" fontId="14" fillId="3" borderId="16" xfId="0" applyFont="1" applyFill="1" applyBorder="1" applyAlignment="1" applyProtection="1">
      <alignment vertical="center"/>
      <protection locked="0"/>
    </xf>
    <xf numFmtId="0" fontId="70" fillId="2" borderId="14" xfId="0" applyFont="1" applyFill="1" applyBorder="1"/>
    <xf numFmtId="0" fontId="50" fillId="2" borderId="14" xfId="0" applyFont="1" applyFill="1" applyBorder="1" applyAlignment="1">
      <alignment wrapText="1"/>
    </xf>
    <xf numFmtId="0" fontId="70" fillId="2" borderId="98" xfId="0" applyFont="1" applyFill="1" applyBorder="1"/>
    <xf numFmtId="0" fontId="50" fillId="2" borderId="98" xfId="0" applyFont="1" applyFill="1" applyBorder="1" applyAlignment="1">
      <alignment wrapText="1"/>
    </xf>
    <xf numFmtId="0" fontId="59" fillId="2" borderId="98" xfId="0" applyFont="1" applyFill="1" applyBorder="1" applyAlignment="1">
      <alignment vertical="center" wrapText="1"/>
    </xf>
    <xf numFmtId="0" fontId="31" fillId="2" borderId="0" xfId="0" applyFont="1" applyFill="1" applyAlignment="1">
      <alignment wrapText="1"/>
    </xf>
    <xf numFmtId="0" fontId="21" fillId="2" borderId="0" xfId="0" applyFont="1" applyFill="1" applyAlignment="1">
      <alignment horizontal="right" vertical="center"/>
    </xf>
    <xf numFmtId="0" fontId="9" fillId="8" borderId="23" xfId="0" applyFont="1" applyFill="1" applyBorder="1"/>
    <xf numFmtId="0" fontId="20" fillId="3" borderId="24" xfId="0" applyFont="1" applyFill="1" applyBorder="1" applyAlignment="1" applyProtection="1">
      <alignment wrapText="1"/>
      <protection locked="0"/>
    </xf>
    <xf numFmtId="0" fontId="14" fillId="3" borderId="0" xfId="0" applyFont="1" applyFill="1" applyAlignment="1" applyProtection="1">
      <alignment horizontal="left" wrapText="1"/>
      <protection locked="0"/>
    </xf>
    <xf numFmtId="0" fontId="9" fillId="0" borderId="0" xfId="0" applyFont="1"/>
    <xf numFmtId="0" fontId="14" fillId="3" borderId="17" xfId="0" applyFont="1" applyFill="1" applyBorder="1" applyAlignment="1" applyProtection="1">
      <alignment horizontal="left" wrapText="1"/>
      <protection locked="0"/>
    </xf>
    <xf numFmtId="0" fontId="9" fillId="15" borderId="38" xfId="1" applyFont="1" applyFill="1" applyBorder="1"/>
    <xf numFmtId="0" fontId="9" fillId="8" borderId="14" xfId="0" applyFont="1" applyFill="1" applyBorder="1" applyAlignment="1">
      <alignment horizontal="center"/>
    </xf>
    <xf numFmtId="0" fontId="84" fillId="2" borderId="0" xfId="0" applyFont="1" applyFill="1" applyAlignment="1">
      <alignment horizontal="center" wrapText="1"/>
    </xf>
    <xf numFmtId="0" fontId="14" fillId="13" borderId="15" xfId="1" applyFont="1" applyFill="1" applyBorder="1"/>
    <xf numFmtId="0" fontId="14" fillId="13" borderId="15" xfId="1" applyFont="1" applyFill="1" applyBorder="1" applyAlignment="1">
      <alignment horizontal="left"/>
    </xf>
    <xf numFmtId="171" fontId="21" fillId="13" borderId="0" xfId="1" applyNumberFormat="1" applyFont="1" applyFill="1"/>
    <xf numFmtId="171" fontId="21" fillId="13" borderId="14" xfId="1" applyNumberFormat="1" applyFont="1" applyFill="1" applyBorder="1"/>
    <xf numFmtId="0" fontId="22" fillId="2" borderId="16" xfId="1" applyFont="1" applyFill="1" applyBorder="1"/>
    <xf numFmtId="0" fontId="48" fillId="2" borderId="13" xfId="1" applyFont="1" applyFill="1" applyBorder="1"/>
    <xf numFmtId="0" fontId="9" fillId="3" borderId="19" xfId="0" applyFont="1" applyFill="1" applyBorder="1" applyProtection="1">
      <protection locked="0"/>
    </xf>
    <xf numFmtId="170" fontId="9" fillId="3" borderId="19" xfId="6" applyNumberFormat="1" applyFont="1" applyFill="1" applyBorder="1" applyProtection="1">
      <protection locked="0"/>
    </xf>
    <xf numFmtId="170" fontId="9" fillId="3" borderId="17" xfId="6" applyNumberFormat="1" applyFont="1" applyFill="1" applyBorder="1" applyProtection="1">
      <protection locked="0"/>
    </xf>
    <xf numFmtId="0" fontId="17" fillId="13" borderId="15" xfId="1" applyFill="1" applyBorder="1" applyAlignment="1">
      <alignment horizontal="left"/>
    </xf>
    <xf numFmtId="0" fontId="17" fillId="13" borderId="15" xfId="1" applyFill="1" applyBorder="1" applyAlignment="1">
      <alignment horizontal="left" vertical="center" wrapText="1"/>
    </xf>
    <xf numFmtId="0" fontId="14" fillId="3" borderId="0" xfId="0" applyFont="1" applyFill="1" applyAlignment="1" applyProtection="1">
      <alignment horizontal="right" vertical="center" wrapText="1"/>
      <protection locked="0"/>
    </xf>
    <xf numFmtId="0" fontId="9" fillId="16" borderId="0" xfId="0" applyFont="1" applyFill="1"/>
    <xf numFmtId="0" fontId="9" fillId="16" borderId="19" xfId="0" applyFont="1" applyFill="1" applyBorder="1" applyAlignment="1">
      <alignment horizontal="left" vertical="center"/>
    </xf>
    <xf numFmtId="0" fontId="9" fillId="3" borderId="0" xfId="0" applyFont="1" applyFill="1" applyAlignment="1" applyProtection="1">
      <alignment horizontal="center" vertical="center"/>
      <protection locked="0"/>
    </xf>
    <xf numFmtId="0" fontId="9" fillId="2" borderId="0" xfId="0" applyFont="1" applyFill="1" applyAlignment="1">
      <alignment horizontal="left" vertical="center"/>
    </xf>
    <xf numFmtId="0" fontId="20" fillId="2" borderId="12" xfId="1" applyFont="1" applyFill="1" applyBorder="1" applyAlignment="1">
      <alignment horizontal="right"/>
    </xf>
    <xf numFmtId="0" fontId="18" fillId="2" borderId="13" xfId="1" applyFont="1" applyFill="1" applyBorder="1" applyAlignment="1">
      <alignment wrapText="1"/>
    </xf>
    <xf numFmtId="170" fontId="17" fillId="13" borderId="0" xfId="6" applyNumberFormat="1" applyFont="1" applyFill="1"/>
    <xf numFmtId="170" fontId="17" fillId="13" borderId="14" xfId="6" applyNumberFormat="1" applyFont="1" applyFill="1" applyBorder="1"/>
    <xf numFmtId="0" fontId="14" fillId="17" borderId="0" xfId="0" applyFont="1" applyFill="1"/>
    <xf numFmtId="0" fontId="14" fillId="17" borderId="14" xfId="0" applyFont="1" applyFill="1" applyBorder="1"/>
    <xf numFmtId="0" fontId="20" fillId="2" borderId="0" xfId="0" applyFont="1" applyFill="1" applyBorder="1" applyAlignment="1">
      <alignment horizontal="right"/>
    </xf>
    <xf numFmtId="169" fontId="13" fillId="2" borderId="5" xfId="0" applyNumberFormat="1" applyFont="1" applyFill="1" applyBorder="1"/>
    <xf numFmtId="0" fontId="26" fillId="2" borderId="5" xfId="0" applyFont="1" applyFill="1" applyBorder="1"/>
    <xf numFmtId="0" fontId="9" fillId="2" borderId="93" xfId="1" applyFont="1" applyFill="1" applyBorder="1"/>
    <xf numFmtId="0" fontId="90" fillId="2" borderId="4" xfId="0" applyFont="1" applyFill="1" applyBorder="1"/>
    <xf numFmtId="0" fontId="70" fillId="2" borderId="4" xfId="0" applyFont="1" applyFill="1" applyBorder="1" applyAlignment="1"/>
    <xf numFmtId="0" fontId="23" fillId="2" borderId="4" xfId="0" applyFont="1" applyFill="1" applyBorder="1" applyAlignment="1">
      <alignment vertical="top"/>
    </xf>
    <xf numFmtId="0" fontId="23" fillId="2" borderId="0" xfId="0" applyFont="1" applyFill="1"/>
    <xf numFmtId="0" fontId="23" fillId="2" borderId="0" xfId="0" applyFont="1" applyFill="1" applyAlignment="1">
      <alignment horizontal="left"/>
    </xf>
    <xf numFmtId="0" fontId="23" fillId="17" borderId="14" xfId="0" applyFont="1" applyFill="1" applyBorder="1"/>
    <xf numFmtId="0" fontId="70" fillId="2" borderId="4" xfId="0" applyFont="1" applyFill="1" applyBorder="1" applyAlignment="1">
      <alignment vertical="top" wrapText="1"/>
    </xf>
    <xf numFmtId="0" fontId="8" fillId="2" borderId="0" xfId="0" applyFont="1" applyFill="1"/>
    <xf numFmtId="0" fontId="8" fillId="10" borderId="30" xfId="0" applyFont="1" applyFill="1" applyBorder="1"/>
    <xf numFmtId="0" fontId="71" fillId="2" borderId="24" xfId="0" applyFont="1" applyFill="1" applyBorder="1" applyAlignment="1">
      <alignment vertical="center"/>
    </xf>
    <xf numFmtId="0" fontId="14" fillId="2" borderId="0" xfId="0" applyFont="1" applyFill="1" applyBorder="1"/>
    <xf numFmtId="0" fontId="20" fillId="10" borderId="24" xfId="0" applyFont="1" applyFill="1" applyBorder="1" applyAlignment="1">
      <alignment wrapText="1"/>
    </xf>
    <xf numFmtId="0" fontId="20" fillId="2" borderId="0" xfId="0" applyFont="1" applyFill="1" applyBorder="1"/>
    <xf numFmtId="0" fontId="26" fillId="2" borderId="0" xfId="0" applyFont="1" applyFill="1" applyBorder="1" applyAlignment="1">
      <alignment vertical="center"/>
    </xf>
    <xf numFmtId="0" fontId="14" fillId="2" borderId="0" xfId="0" applyFont="1" applyFill="1" applyBorder="1" applyAlignment="1">
      <alignment horizontal="right"/>
    </xf>
    <xf numFmtId="0" fontId="8" fillId="2" borderId="0" xfId="0" applyFont="1" applyFill="1" applyBorder="1" applyAlignment="1">
      <alignment horizontal="right"/>
    </xf>
    <xf numFmtId="0" fontId="9" fillId="10" borderId="134" xfId="0" applyNumberFormat="1" applyFont="1" applyFill="1" applyBorder="1"/>
    <xf numFmtId="0" fontId="14" fillId="4" borderId="98" xfId="0" applyFont="1" applyFill="1" applyBorder="1"/>
    <xf numFmtId="0" fontId="9" fillId="2" borderId="98" xfId="0" applyFont="1" applyFill="1" applyBorder="1" applyAlignment="1">
      <alignment wrapText="1"/>
    </xf>
    <xf numFmtId="0" fontId="70" fillId="2" borderId="14" xfId="0" applyFont="1" applyFill="1" applyBorder="1" applyAlignment="1">
      <alignment wrapText="1"/>
    </xf>
    <xf numFmtId="0" fontId="84" fillId="2" borderId="0" xfId="0" applyFont="1" applyFill="1" applyAlignment="1">
      <alignment vertical="center" wrapText="1"/>
    </xf>
    <xf numFmtId="0" fontId="14" fillId="8" borderId="24" xfId="0" applyFont="1" applyFill="1" applyBorder="1" applyAlignment="1">
      <alignment horizontal="right" vertical="center"/>
    </xf>
    <xf numFmtId="0" fontId="14" fillId="10" borderId="134" xfId="0" applyFont="1" applyFill="1" applyBorder="1" applyAlignment="1">
      <alignment horizontal="right" vertical="center"/>
    </xf>
    <xf numFmtId="0" fontId="14" fillId="10" borderId="7" xfId="0" applyFont="1" applyFill="1" applyBorder="1" applyAlignment="1">
      <alignment horizontal="right" vertical="center"/>
    </xf>
    <xf numFmtId="0" fontId="26" fillId="10" borderId="24" xfId="0" applyFont="1" applyFill="1" applyBorder="1" applyAlignment="1">
      <alignment horizontal="right" vertical="center"/>
    </xf>
    <xf numFmtId="0" fontId="20" fillId="10" borderId="24" xfId="0" applyFont="1" applyFill="1" applyBorder="1" applyAlignment="1">
      <alignment horizontal="right"/>
    </xf>
    <xf numFmtId="0" fontId="20" fillId="10" borderId="31" xfId="0" applyFont="1" applyFill="1" applyBorder="1"/>
    <xf numFmtId="0" fontId="20" fillId="2" borderId="7" xfId="0" applyFont="1" applyFill="1" applyBorder="1" applyAlignment="1">
      <alignment horizontal="right"/>
    </xf>
    <xf numFmtId="0" fontId="14" fillId="2" borderId="21" xfId="0" applyFont="1" applyFill="1" applyBorder="1"/>
    <xf numFmtId="0" fontId="14" fillId="2" borderId="21" xfId="0" applyFont="1" applyFill="1" applyBorder="1" applyAlignment="1">
      <alignment horizontal="right"/>
    </xf>
    <xf numFmtId="0" fontId="20" fillId="2" borderId="7" xfId="0" applyFont="1" applyFill="1" applyBorder="1" applyAlignment="1">
      <alignment horizontal="right" vertical="center"/>
    </xf>
    <xf numFmtId="0" fontId="20" fillId="2" borderId="14" xfId="0" applyFont="1" applyFill="1" applyBorder="1" applyAlignment="1">
      <alignment horizontal="right"/>
    </xf>
    <xf numFmtId="0" fontId="20" fillId="2" borderId="20" xfId="0" applyFont="1" applyFill="1" applyBorder="1" applyAlignment="1">
      <alignment wrapText="1"/>
    </xf>
    <xf numFmtId="0" fontId="20" fillId="2" borderId="24" xfId="0" applyFont="1" applyFill="1" applyBorder="1" applyAlignment="1">
      <alignment wrapText="1"/>
    </xf>
    <xf numFmtId="44" fontId="21" fillId="10" borderId="24" xfId="4" applyFont="1" applyFill="1" applyBorder="1" applyProtection="1"/>
    <xf numFmtId="44" fontId="21" fillId="10" borderId="30" xfId="4" applyFont="1" applyFill="1" applyBorder="1" applyProtection="1"/>
    <xf numFmtId="44" fontId="26" fillId="10" borderId="30" xfId="4" applyFont="1" applyFill="1" applyBorder="1" applyProtection="1"/>
    <xf numFmtId="44" fontId="26" fillId="10" borderId="117" xfId="4" applyFont="1" applyFill="1" applyBorder="1"/>
    <xf numFmtId="44" fontId="26" fillId="10" borderId="31" xfId="4" applyFont="1" applyFill="1" applyBorder="1"/>
    <xf numFmtId="44" fontId="21" fillId="10" borderId="31" xfId="4" applyFont="1" applyFill="1" applyBorder="1" applyProtection="1"/>
    <xf numFmtId="0" fontId="31" fillId="2" borderId="18" xfId="0" applyFont="1" applyFill="1" applyBorder="1" applyAlignment="1">
      <alignment vertical="center" wrapText="1"/>
    </xf>
    <xf numFmtId="0" fontId="18" fillId="2" borderId="0" xfId="0" applyFont="1" applyFill="1" applyAlignment="1">
      <alignment horizontal="left" vertical="top" wrapText="1"/>
    </xf>
    <xf numFmtId="0" fontId="75" fillId="2" borderId="7" xfId="0" applyFont="1" applyFill="1" applyBorder="1" applyAlignment="1">
      <alignment horizontal="left" vertical="top" wrapText="1"/>
    </xf>
    <xf numFmtId="0" fontId="14" fillId="2" borderId="0" xfId="0" applyFont="1" applyFill="1" applyAlignment="1">
      <alignment horizontal="left" vertical="top" wrapText="1"/>
    </xf>
    <xf numFmtId="0" fontId="75" fillId="2" borderId="0" xfId="0" applyFont="1" applyFill="1" applyAlignment="1">
      <alignment horizontal="left" wrapText="1"/>
    </xf>
    <xf numFmtId="0" fontId="21" fillId="2" borderId="0" xfId="0" applyFont="1" applyFill="1" applyAlignment="1">
      <alignment horizontal="left" vertical="top" wrapText="1"/>
    </xf>
    <xf numFmtId="0" fontId="42" fillId="10" borderId="100" xfId="0" applyFont="1" applyFill="1" applyBorder="1" applyAlignment="1">
      <alignment horizontal="left" vertical="top" wrapText="1"/>
    </xf>
    <xf numFmtId="0" fontId="14" fillId="2" borderId="100" xfId="0" applyFont="1" applyFill="1" applyBorder="1" applyAlignment="1">
      <alignment horizontal="left" vertical="top" wrapText="1"/>
    </xf>
    <xf numFmtId="0" fontId="14" fillId="2" borderId="103" xfId="0" applyFont="1" applyFill="1" applyBorder="1" applyAlignment="1">
      <alignment horizontal="left" vertical="top" wrapText="1"/>
    </xf>
    <xf numFmtId="0" fontId="43" fillId="16" borderId="105" xfId="0" applyFont="1" applyFill="1" applyBorder="1" applyAlignment="1">
      <alignment horizontal="left" vertical="top" wrapText="1"/>
    </xf>
    <xf numFmtId="0" fontId="8" fillId="2" borderId="106" xfId="0" applyFont="1" applyFill="1" applyBorder="1" applyAlignment="1">
      <alignment horizontal="left" vertical="top" wrapText="1"/>
    </xf>
    <xf numFmtId="0" fontId="43" fillId="11" borderId="108" xfId="0" applyFont="1" applyFill="1" applyBorder="1" applyAlignment="1">
      <alignment horizontal="left" vertical="top" wrapText="1"/>
    </xf>
    <xf numFmtId="0" fontId="21" fillId="2" borderId="109" xfId="0" applyFont="1" applyFill="1" applyBorder="1" applyAlignment="1">
      <alignment horizontal="left" vertical="top" wrapText="1"/>
    </xf>
    <xf numFmtId="0" fontId="21" fillId="2" borderId="110" xfId="0" applyFont="1" applyFill="1" applyBorder="1" applyAlignment="1">
      <alignment horizontal="left" vertical="top" wrapText="1"/>
    </xf>
    <xf numFmtId="0" fontId="42" fillId="13" borderId="111" xfId="0" applyFont="1" applyFill="1" applyBorder="1" applyAlignment="1">
      <alignment horizontal="left" vertical="top" wrapText="1"/>
    </xf>
    <xf numFmtId="0" fontId="21" fillId="2" borderId="112" xfId="0" applyFont="1" applyFill="1" applyBorder="1" applyAlignment="1">
      <alignment horizontal="left" vertical="top" wrapText="1"/>
    </xf>
    <xf numFmtId="0" fontId="21" fillId="2" borderId="113" xfId="0" applyFont="1" applyFill="1" applyBorder="1" applyAlignment="1">
      <alignment horizontal="left" vertical="top" wrapText="1"/>
    </xf>
    <xf numFmtId="0" fontId="43" fillId="2" borderId="114" xfId="0" applyFont="1" applyFill="1" applyBorder="1" applyAlignment="1">
      <alignment horizontal="left" vertical="top" wrapText="1"/>
    </xf>
    <xf numFmtId="0" fontId="21" fillId="2" borderId="115" xfId="0" applyFont="1" applyFill="1" applyBorder="1" applyAlignment="1">
      <alignment horizontal="left" vertical="top" wrapText="1"/>
    </xf>
    <xf numFmtId="0" fontId="21" fillId="2" borderId="116" xfId="0" applyFont="1" applyFill="1" applyBorder="1" applyAlignment="1">
      <alignment horizontal="left" vertical="top" wrapText="1"/>
    </xf>
    <xf numFmtId="0" fontId="16" fillId="2" borderId="0" xfId="0" applyFont="1" applyFill="1" applyAlignment="1">
      <alignment horizontal="left" vertical="top" wrapText="1"/>
    </xf>
    <xf numFmtId="0" fontId="43" fillId="12" borderId="102" xfId="0" applyFont="1" applyFill="1" applyBorder="1" applyAlignment="1">
      <alignment horizontal="left" vertical="top" wrapText="1"/>
    </xf>
    <xf numFmtId="0" fontId="21" fillId="2" borderId="14" xfId="0" applyFont="1" applyFill="1" applyBorder="1" applyAlignment="1">
      <alignment horizontal="left" vertical="top" wrapText="1" indent="2"/>
    </xf>
    <xf numFmtId="0" fontId="21" fillId="11" borderId="98" xfId="0" applyFont="1" applyFill="1" applyBorder="1" applyAlignment="1">
      <alignment horizontal="left" vertical="top" wrapText="1" indent="2"/>
    </xf>
    <xf numFmtId="0" fontId="21" fillId="2" borderId="98" xfId="0" applyFont="1" applyFill="1" applyBorder="1" applyAlignment="1">
      <alignment horizontal="left" vertical="top" wrapText="1" indent="2"/>
    </xf>
    <xf numFmtId="170" fontId="21" fillId="13" borderId="22" xfId="6" applyNumberFormat="1" applyFont="1" applyFill="1" applyBorder="1"/>
    <xf numFmtId="170" fontId="17" fillId="13" borderId="17" xfId="6" applyNumberFormat="1" applyFont="1" applyFill="1" applyBorder="1"/>
    <xf numFmtId="170" fontId="17" fillId="13" borderId="15" xfId="6" applyNumberFormat="1" applyFont="1" applyFill="1" applyBorder="1" applyAlignment="1">
      <alignment horizontal="left" vertical="center" wrapText="1"/>
    </xf>
    <xf numFmtId="43" fontId="17" fillId="13" borderId="15" xfId="6" applyFont="1" applyFill="1" applyBorder="1" applyAlignment="1">
      <alignment horizontal="right" vertical="center" wrapText="1"/>
    </xf>
    <xf numFmtId="170" fontId="17" fillId="13" borderId="15" xfId="6" applyNumberFormat="1" applyFont="1" applyFill="1" applyBorder="1" applyAlignment="1">
      <alignment horizontal="right" vertical="center" wrapText="1"/>
    </xf>
    <xf numFmtId="43" fontId="19" fillId="13" borderId="0" xfId="6" applyFont="1" applyFill="1"/>
    <xf numFmtId="43" fontId="19" fillId="13" borderId="17" xfId="6" applyFont="1" applyFill="1" applyBorder="1"/>
    <xf numFmtId="43" fontId="21" fillId="13" borderId="0" xfId="6" applyFont="1" applyFill="1"/>
    <xf numFmtId="0" fontId="20" fillId="2" borderId="17" xfId="1" applyFont="1" applyFill="1" applyBorder="1" applyAlignment="1">
      <alignment horizontal="center"/>
    </xf>
    <xf numFmtId="170" fontId="17" fillId="13" borderId="15" xfId="6" applyNumberFormat="1" applyFont="1" applyFill="1" applyBorder="1"/>
    <xf numFmtId="170" fontId="19" fillId="13" borderId="17" xfId="6" applyNumberFormat="1" applyFont="1" applyFill="1" applyBorder="1"/>
    <xf numFmtId="170" fontId="14" fillId="13" borderId="15" xfId="6" applyNumberFormat="1" applyFont="1" applyFill="1" applyBorder="1" applyAlignment="1">
      <alignment horizontal="right"/>
    </xf>
    <xf numFmtId="43" fontId="14" fillId="13" borderId="14" xfId="6" applyFont="1" applyFill="1" applyBorder="1" applyAlignment="1">
      <alignment horizontal="left" vertical="center" wrapText="1"/>
    </xf>
    <xf numFmtId="43" fontId="17" fillId="13" borderId="0" xfId="6" applyFont="1" applyFill="1"/>
    <xf numFmtId="43" fontId="21" fillId="13" borderId="14" xfId="6" applyFont="1" applyFill="1" applyBorder="1"/>
    <xf numFmtId="43" fontId="21" fillId="13" borderId="17" xfId="6" applyFont="1" applyFill="1" applyBorder="1"/>
    <xf numFmtId="43" fontId="21" fillId="13" borderId="15" xfId="6" applyFont="1" applyFill="1" applyBorder="1"/>
    <xf numFmtId="0" fontId="21" fillId="8" borderId="98" xfId="0" applyFont="1" applyFill="1" applyBorder="1" applyAlignment="1">
      <alignment horizontal="left" vertical="top" wrapText="1" indent="2"/>
    </xf>
    <xf numFmtId="0" fontId="8" fillId="2" borderId="104" xfId="0" applyFont="1" applyFill="1" applyBorder="1" applyAlignment="1">
      <alignment horizontal="left" vertical="top" wrapText="1"/>
    </xf>
    <xf numFmtId="0" fontId="94" fillId="2" borderId="134" xfId="0" applyFont="1" applyFill="1" applyBorder="1" applyAlignment="1">
      <alignment horizontal="left" vertical="top" wrapText="1"/>
    </xf>
    <xf numFmtId="0" fontId="8" fillId="2" borderId="101" xfId="0" applyFont="1" applyFill="1" applyBorder="1" applyAlignment="1">
      <alignment horizontal="left" vertical="top" wrapText="1"/>
    </xf>
    <xf numFmtId="170" fontId="14" fillId="3" borderId="24" xfId="6" applyNumberFormat="1" applyFont="1" applyFill="1" applyBorder="1" applyAlignment="1" applyProtection="1">
      <alignment vertical="center" wrapText="1"/>
      <protection locked="0"/>
    </xf>
    <xf numFmtId="43" fontId="14" fillId="3" borderId="0" xfId="6" applyNumberFormat="1" applyFont="1" applyFill="1" applyAlignment="1" applyProtection="1">
      <alignment wrapText="1"/>
      <protection locked="0"/>
    </xf>
    <xf numFmtId="0" fontId="50" fillId="2" borderId="0" xfId="0" applyFont="1" applyFill="1" applyAlignment="1">
      <alignment vertical="center" wrapText="1"/>
    </xf>
    <xf numFmtId="0" fontId="31" fillId="2" borderId="0" xfId="0" applyFont="1" applyFill="1" applyAlignment="1">
      <alignment vertical="top" wrapText="1"/>
    </xf>
    <xf numFmtId="0" fontId="59" fillId="2" borderId="0" xfId="0" applyFont="1" applyFill="1" applyAlignment="1">
      <alignment vertical="top" wrapText="1"/>
    </xf>
    <xf numFmtId="0" fontId="8" fillId="2" borderId="107" xfId="0" applyFont="1" applyFill="1" applyBorder="1" applyAlignment="1">
      <alignment horizontal="left" vertical="top" wrapText="1"/>
    </xf>
    <xf numFmtId="0" fontId="7" fillId="2" borderId="106" xfId="0" applyFont="1" applyFill="1" applyBorder="1" applyAlignment="1">
      <alignment horizontal="left" vertical="top" wrapText="1"/>
    </xf>
    <xf numFmtId="0" fontId="7" fillId="0" borderId="0" xfId="0" applyFont="1"/>
    <xf numFmtId="0" fontId="7" fillId="2" borderId="0" xfId="0" applyFont="1" applyFill="1" applyAlignment="1">
      <alignment vertical="top" wrapText="1"/>
    </xf>
    <xf numFmtId="0" fontId="6" fillId="4" borderId="0" xfId="0" applyFont="1" applyFill="1" applyAlignment="1">
      <alignment horizontal="left" vertical="top" wrapText="1" indent="2"/>
    </xf>
    <xf numFmtId="0" fontId="5" fillId="2" borderId="106" xfId="0" applyFont="1" applyFill="1" applyBorder="1" applyAlignment="1">
      <alignment horizontal="left" vertical="top" wrapText="1"/>
    </xf>
    <xf numFmtId="0" fontId="5" fillId="2" borderId="107" xfId="0" applyFont="1" applyFill="1" applyBorder="1" applyAlignment="1">
      <alignment horizontal="left" vertical="top" wrapText="1"/>
    </xf>
    <xf numFmtId="0" fontId="5" fillId="2" borderId="104" xfId="0" applyFont="1" applyFill="1" applyBorder="1" applyAlignment="1">
      <alignment horizontal="left" vertical="top" wrapText="1"/>
    </xf>
    <xf numFmtId="0" fontId="5" fillId="2" borderId="4" xfId="0" applyFont="1" applyFill="1" applyBorder="1"/>
    <xf numFmtId="2" fontId="5" fillId="9" borderId="39" xfId="1" applyNumberFormat="1" applyFont="1" applyFill="1" applyBorder="1"/>
    <xf numFmtId="0" fontId="26" fillId="0" borderId="0" xfId="1" applyFont="1" applyFill="1" applyAlignment="1">
      <alignment horizontal="right"/>
    </xf>
    <xf numFmtId="169" fontId="21" fillId="0" borderId="0" xfId="4" applyNumberFormat="1" applyFont="1" applyFill="1" applyAlignment="1" applyProtection="1">
      <alignment vertical="center" wrapText="1"/>
    </xf>
    <xf numFmtId="0" fontId="27" fillId="0" borderId="0" xfId="1" applyFont="1" applyFill="1"/>
    <xf numFmtId="0" fontId="10" fillId="0" borderId="0" xfId="1" applyFont="1" applyFill="1" applyAlignment="1">
      <alignment vertical="center"/>
    </xf>
    <xf numFmtId="169" fontId="21" fillId="0" borderId="0" xfId="4" applyNumberFormat="1" applyFont="1" applyFill="1" applyAlignment="1" applyProtection="1"/>
    <xf numFmtId="0" fontId="9" fillId="0" borderId="0" xfId="1" applyFont="1" applyFill="1" applyAlignment="1"/>
    <xf numFmtId="0" fontId="21" fillId="0" borderId="0" xfId="1" applyFont="1" applyFill="1" applyBorder="1"/>
    <xf numFmtId="44" fontId="14" fillId="8" borderId="24" xfId="4" applyFont="1" applyFill="1" applyBorder="1" applyAlignment="1">
      <alignment horizontal="right" vertical="center"/>
    </xf>
    <xf numFmtId="0" fontId="24" fillId="8" borderId="132" xfId="3" quotePrefix="1" applyFill="1" applyBorder="1" applyAlignment="1">
      <alignment horizontal="left" indent="1"/>
    </xf>
    <xf numFmtId="0" fontId="24" fillId="8" borderId="133" xfId="3" quotePrefix="1" applyFill="1" applyBorder="1" applyAlignment="1">
      <alignment horizontal="left" indent="1"/>
    </xf>
    <xf numFmtId="0" fontId="24" fillId="10" borderId="132" xfId="3" quotePrefix="1" applyFill="1" applyBorder="1" applyAlignment="1">
      <alignment horizontal="left" indent="1"/>
    </xf>
    <xf numFmtId="0" fontId="24" fillId="10" borderId="133" xfId="3" quotePrefix="1" applyFill="1" applyBorder="1" applyAlignment="1">
      <alignment horizontal="left" indent="1"/>
    </xf>
    <xf numFmtId="0" fontId="24" fillId="12" borderId="132" xfId="3" quotePrefix="1" applyFill="1" applyBorder="1" applyAlignment="1">
      <alignment horizontal="left" indent="1"/>
    </xf>
    <xf numFmtId="0" fontId="24" fillId="12" borderId="133" xfId="3" quotePrefix="1" applyFill="1" applyBorder="1" applyAlignment="1">
      <alignment horizontal="left" indent="1"/>
    </xf>
    <xf numFmtId="0" fontId="24" fillId="8" borderId="130" xfId="3" applyFill="1" applyBorder="1" applyAlignment="1">
      <alignment horizontal="left" indent="1"/>
    </xf>
    <xf numFmtId="0" fontId="24" fillId="14" borderId="132" xfId="3" quotePrefix="1" applyFill="1" applyBorder="1" applyAlignment="1">
      <alignment horizontal="left" indent="1"/>
    </xf>
    <xf numFmtId="0" fontId="24" fillId="14" borderId="133" xfId="3" quotePrefix="1" applyFill="1" applyBorder="1" applyAlignment="1">
      <alignment horizontal="left" indent="1"/>
    </xf>
    <xf numFmtId="0" fontId="24" fillId="11" borderId="132" xfId="3" quotePrefix="1" applyFill="1" applyBorder="1" applyAlignment="1">
      <alignment horizontal="left" indent="1"/>
    </xf>
    <xf numFmtId="0" fontId="24" fillId="11" borderId="133" xfId="3" quotePrefix="1" applyFill="1" applyBorder="1" applyAlignment="1">
      <alignment horizontal="left" indent="1"/>
    </xf>
    <xf numFmtId="0" fontId="24" fillId="13" borderId="132" xfId="3" quotePrefix="1" applyFill="1" applyBorder="1" applyAlignment="1">
      <alignment horizontal="left" indent="1"/>
    </xf>
    <xf numFmtId="0" fontId="24" fillId="13" borderId="133" xfId="3" quotePrefix="1" applyFill="1" applyBorder="1" applyAlignment="1">
      <alignment horizontal="left" indent="1"/>
    </xf>
    <xf numFmtId="0" fontId="24" fillId="2" borderId="132" xfId="3" quotePrefix="1" applyFill="1" applyBorder="1" applyAlignment="1">
      <alignment horizontal="left" indent="1"/>
    </xf>
    <xf numFmtId="0" fontId="24" fillId="2" borderId="0" xfId="3" applyFill="1"/>
    <xf numFmtId="0" fontId="4" fillId="2" borderId="0" xfId="0" applyFont="1" applyFill="1" applyAlignment="1">
      <alignment vertical="top" wrapText="1"/>
    </xf>
    <xf numFmtId="0" fontId="16" fillId="2" borderId="0" xfId="0" applyFont="1" applyFill="1" applyAlignment="1">
      <alignment vertical="top" wrapText="1"/>
    </xf>
    <xf numFmtId="0" fontId="24" fillId="2" borderId="0" xfId="3" applyFill="1" applyAlignment="1">
      <alignment vertical="top" wrapText="1"/>
    </xf>
    <xf numFmtId="0" fontId="24" fillId="2" borderId="0" xfId="3" applyFill="1" applyAlignment="1">
      <alignment vertical="top"/>
    </xf>
    <xf numFmtId="0" fontId="24" fillId="2" borderId="0" xfId="3" applyFill="1" applyAlignment="1">
      <alignment horizontal="right"/>
    </xf>
    <xf numFmtId="49" fontId="3" fillId="2" borderId="0" xfId="0" applyNumberFormat="1" applyFont="1" applyFill="1" applyAlignment="1">
      <alignment wrapText="1"/>
    </xf>
    <xf numFmtId="0" fontId="7" fillId="5" borderId="0" xfId="0" applyFont="1" applyFill="1" applyAlignment="1">
      <alignment vertical="top" wrapText="1"/>
    </xf>
    <xf numFmtId="0" fontId="21" fillId="5" borderId="0" xfId="3" applyFont="1" applyFill="1" applyAlignment="1">
      <alignment wrapText="1"/>
    </xf>
    <xf numFmtId="0" fontId="3" fillId="2" borderId="101" xfId="0" applyFont="1" applyFill="1" applyBorder="1" applyAlignment="1">
      <alignment horizontal="left" vertical="top" wrapText="1"/>
    </xf>
    <xf numFmtId="0" fontId="3" fillId="12" borderId="0" xfId="0" applyFont="1" applyFill="1" applyAlignment="1">
      <alignment horizontal="right"/>
    </xf>
    <xf numFmtId="0" fontId="3" fillId="2" borderId="104" xfId="0" applyFont="1" applyFill="1" applyBorder="1" applyAlignment="1">
      <alignment horizontal="left" vertical="top" wrapText="1"/>
    </xf>
    <xf numFmtId="0" fontId="3" fillId="2" borderId="14" xfId="1" applyFont="1" applyFill="1" applyBorder="1" applyAlignment="1">
      <alignment horizontal="right"/>
    </xf>
    <xf numFmtId="0" fontId="3" fillId="2" borderId="0" xfId="0" applyFont="1" applyFill="1" applyAlignment="1">
      <alignment wrapText="1"/>
    </xf>
    <xf numFmtId="0" fontId="3" fillId="2" borderId="0" xfId="0" applyFont="1" applyFill="1" applyAlignment="1">
      <alignment horizontal="right"/>
    </xf>
    <xf numFmtId="0" fontId="3" fillId="0" borderId="32" xfId="1" applyFont="1" applyBorder="1"/>
    <xf numFmtId="0" fontId="2" fillId="8" borderId="0" xfId="0" applyFont="1" applyFill="1" applyAlignment="1">
      <alignment wrapText="1"/>
    </xf>
    <xf numFmtId="0" fontId="2" fillId="8" borderId="13" xfId="0" applyFont="1" applyFill="1" applyBorder="1"/>
    <xf numFmtId="0" fontId="18" fillId="2" borderId="0" xfId="1" applyFont="1" applyFill="1" applyAlignment="1">
      <alignment horizontal="left" vertical="center" wrapText="1"/>
    </xf>
    <xf numFmtId="0" fontId="20" fillId="13" borderId="0" xfId="1" applyFont="1" applyFill="1" applyAlignment="1">
      <alignment horizontal="center" vertical="center" textRotation="255"/>
    </xf>
    <xf numFmtId="0" fontId="20" fillId="11" borderId="0" xfId="1" applyFont="1" applyFill="1" applyAlignment="1">
      <alignment horizontal="center" vertical="center" textRotation="255"/>
    </xf>
    <xf numFmtId="0" fontId="20" fillId="10" borderId="0" xfId="1" applyFont="1" applyFill="1" applyAlignment="1">
      <alignment horizontal="center" vertical="center" textRotation="255"/>
    </xf>
    <xf numFmtId="0" fontId="20" fillId="10" borderId="0" xfId="1" applyFont="1" applyFill="1" applyAlignment="1">
      <alignment horizontal="center" vertical="center" textRotation="255" wrapText="1"/>
    </xf>
    <xf numFmtId="0" fontId="1" fillId="8" borderId="0" xfId="0" applyFont="1" applyFill="1" applyAlignment="1">
      <alignment wrapText="1"/>
    </xf>
    <xf numFmtId="0" fontId="1" fillId="3" borderId="4" xfId="0" applyFont="1" applyFill="1" applyBorder="1" applyAlignment="1" applyProtection="1">
      <alignment wrapText="1"/>
      <protection locked="0"/>
    </xf>
    <xf numFmtId="0" fontId="1" fillId="3" borderId="19" xfId="0" applyFont="1" applyFill="1" applyBorder="1" applyAlignment="1" applyProtection="1">
      <alignment wrapText="1"/>
      <protection locked="0"/>
    </xf>
    <xf numFmtId="0" fontId="1" fillId="8" borderId="14" xfId="0" applyFont="1" applyFill="1" applyBorder="1" applyAlignment="1">
      <alignment horizontal="center"/>
    </xf>
  </cellXfs>
  <cellStyles count="8">
    <cellStyle name="Komma" xfId="6" builtinId="3"/>
    <cellStyle name="Link" xfId="3" builtinId="8"/>
    <cellStyle name="Prozent" xfId="7" builtinId="5"/>
    <cellStyle name="Prozent 2" xfId="2" xr:uid="{00000000-0005-0000-0000-000003000000}"/>
    <cellStyle name="Standard" xfId="0" builtinId="0"/>
    <cellStyle name="Standard 2" xfId="1" xr:uid="{00000000-0005-0000-0000-000005000000}"/>
    <cellStyle name="Währung" xfId="4" builtinId="4"/>
    <cellStyle name="Währung 2" xfId="5" xr:uid="{00000000-0005-0000-0000-000007000000}"/>
  </cellStyles>
  <dxfs count="131">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rgb="FFFF0000"/>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border outline="0">
        <top style="thin">
          <color theme="9"/>
        </top>
      </border>
    </dxf>
    <dxf>
      <border outline="0">
        <top style="thin">
          <color theme="4"/>
        </top>
        <bottom style="thin">
          <color theme="9"/>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alignment horizontal="general" vertical="bottom" textRotation="0" wrapText="0" indent="0" justifyLastLine="0" shrinkToFit="0" readingOrder="0"/>
    </dxf>
    <dxf>
      <font>
        <b/>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general" vertical="bottom"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2" formatCode="0.0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2" formatCode="0.0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fill>
        <patternFill patternType="solid">
          <fgColor theme="9" tint="0.79998168889431442"/>
          <bgColor rgb="FFDEF1D3"/>
        </patternFill>
      </fill>
      <alignment horizontal="general" vertical="bottom" textRotation="0" wrapText="0" indent="0" justifyLastLine="0" shrinkToFit="0" readingOrder="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border outline="0">
        <top style="thin">
          <color theme="9"/>
        </top>
      </border>
    </dxf>
    <dxf>
      <border outline="0">
        <left style="thin">
          <color theme="9"/>
        </left>
        <right style="thin">
          <color theme="9"/>
        </right>
        <top style="thin">
          <color theme="9"/>
        </top>
        <bottom style="thin">
          <color theme="9"/>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rgb="FFDEF1D3"/>
        </patternFill>
      </fill>
      <alignment horizontal="general" vertical="bottom" textRotation="0" wrapText="0" indent="0" justifyLastLine="0" shrinkToFit="0" readingOrder="0"/>
    </dxf>
    <dxf>
      <border outline="0">
        <bottom style="thin">
          <color theme="9"/>
        </bottom>
      </border>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border diagonalUp="0" diagonalDown="0">
        <left style="thin">
          <color theme="9"/>
        </left>
        <right style="thin">
          <color theme="9"/>
        </right>
        <top style="thin">
          <color theme="9"/>
        </top>
        <bottom style="thin">
          <color theme="9"/>
        </bottom>
        <vertical/>
        <horizontal/>
      </border>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Calibri"/>
        <family val="2"/>
        <scheme val="minor"/>
      </font>
      <border diagonalUp="0" diagonalDown="0">
        <left style="thin">
          <color theme="9"/>
        </left>
        <right style="thin">
          <color theme="9"/>
        </right>
        <top style="thin">
          <color theme="9"/>
        </top>
        <bottom style="thin">
          <color theme="9"/>
        </bottom>
        <vertical/>
        <horizontal/>
      </border>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protection locked="0" hidden="0"/>
    </dxf>
    <dxf>
      <font>
        <name val="Calibri"/>
        <family val="2"/>
        <scheme val="minor"/>
      </font>
      <fill>
        <patternFill patternType="none">
          <fgColor indexed="64"/>
          <bgColor indexed="65"/>
        </patternFill>
      </fill>
      <protection locked="0" hidden="0"/>
    </dxf>
    <dxf>
      <font>
        <name val="Calibri"/>
        <family val="2"/>
        <scheme val="minor"/>
      </font>
      <fill>
        <patternFill patternType="none">
          <fgColor indexed="64"/>
          <bgColor indexed="65"/>
        </patternFill>
      </fill>
      <protection locked="0" hidden="0"/>
    </dxf>
    <dxf>
      <border outline="0">
        <top style="thin">
          <color theme="9"/>
        </top>
      </border>
    </dxf>
    <dxf>
      <border outline="0">
        <bottom style="thin">
          <color theme="9"/>
        </bottom>
      </border>
    </dxf>
    <dxf>
      <font>
        <b val="0"/>
        <i val="0"/>
        <strike val="0"/>
        <condense val="0"/>
        <extend val="0"/>
        <outline val="0"/>
        <shadow val="0"/>
        <u val="none"/>
        <vertAlign val="baseli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ill>
        <patternFill patternType="none">
          <fgColor indexed="64"/>
          <bgColor auto="1"/>
        </patternFill>
      </fill>
      <protection locked="1" hidden="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bottom" textRotation="0" wrapText="1" indent="0" justifyLastLine="0" shrinkToFit="0" readingOrder="0"/>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ont>
        <b/>
        <i val="0"/>
        <strike val="0"/>
        <condense val="0"/>
        <extend val="0"/>
        <outline val="0"/>
        <shadow val="0"/>
        <u val="none"/>
        <vertAlign val="baseline"/>
        <sz val="12"/>
        <color theme="1"/>
        <name val="Calibri"/>
        <family val="2"/>
        <scheme val="minor"/>
      </font>
      <fill>
        <patternFill patternType="none">
          <fgColor indexed="64"/>
          <bgColor auto="1"/>
        </patternFill>
      </fill>
      <protection locked="1" hidden="0"/>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C5C5C9"/>
      <color rgb="FFF1A0BD"/>
      <color rgb="FFFFD288"/>
      <color rgb="FF85DFFF"/>
      <color rgb="FFD9BBD8"/>
      <color rgb="FFBCE4A7"/>
      <color rgb="FFDEF1D3"/>
      <color rgb="FF88DEFF"/>
      <color rgb="FF009BD5"/>
      <color rgb="FF8305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Relationship Id="rId8" Type="http://schemas.openxmlformats.org/officeDocument/2006/relationships/worksheet" Target="worksheets/sheet8.xml"></Relationship><Relationship Id="rId13" Type="http://schemas.openxmlformats.org/officeDocument/2006/relationships/worksheet" Target="worksheets/sheet13.xml"></Relationship><Relationship Id="rId18" Type="http://schemas.openxmlformats.org/officeDocument/2006/relationships/worksheet" Target="worksheets/sheet18.xml"></Relationship><Relationship Id="rId26" Type="http://schemas.openxmlformats.org/officeDocument/2006/relationships/customXml" Target="../customXml/item1.xml"></Relationship><Relationship Id="rId3" Type="http://schemas.openxmlformats.org/officeDocument/2006/relationships/worksheet" Target="worksheets/sheet3.xml"></Relationship><Relationship Id="rId21" Type="http://schemas.openxmlformats.org/officeDocument/2006/relationships/worksheet" Target="worksheets/sheet21.xml"></Relationship><Relationship Id="rId7" Type="http://schemas.openxmlformats.org/officeDocument/2006/relationships/worksheet" Target="worksheets/sheet7.xml"></Relationship><Relationship Id="rId12" Type="http://schemas.openxmlformats.org/officeDocument/2006/relationships/worksheet" Target="worksheets/sheet12.xml"></Relationship><Relationship Id="rId17" Type="http://schemas.openxmlformats.org/officeDocument/2006/relationships/worksheet" Target="worksheets/sheet17.xml"></Relationship><Relationship Id="rId25" Type="http://schemas.openxmlformats.org/officeDocument/2006/relationships/calcChain" Target="calcChain.xml"></Relationship><Relationship Id="rId2" Type="http://schemas.openxmlformats.org/officeDocument/2006/relationships/worksheet" Target="worksheets/sheet2.xml"></Relationship><Relationship Id="rId16" Type="http://schemas.openxmlformats.org/officeDocument/2006/relationships/worksheet" Target="worksheets/sheet16.xml"></Relationship><Relationship Id="rId20" Type="http://schemas.openxmlformats.org/officeDocument/2006/relationships/worksheet" Target="worksheets/sheet20.xml"></Relationship><Relationship Id="rId1" Type="http://schemas.openxmlformats.org/officeDocument/2006/relationships/worksheet" Target="worksheets/sheet1.xml"></Relationship><Relationship Id="rId6" Type="http://schemas.openxmlformats.org/officeDocument/2006/relationships/worksheet" Target="worksheets/sheet6.xml"></Relationship><Relationship Id="rId11" Type="http://schemas.openxmlformats.org/officeDocument/2006/relationships/worksheet" Target="worksheets/sheet11.xml"></Relationship><Relationship Id="rId24" Type="http://schemas.openxmlformats.org/officeDocument/2006/relationships/sharedStrings" Target="sharedStrings.xml"></Relationship><Relationship Id="rId5" Type="http://schemas.openxmlformats.org/officeDocument/2006/relationships/worksheet" Target="worksheets/sheet5.xml"></Relationship><Relationship Id="rId15" Type="http://schemas.openxmlformats.org/officeDocument/2006/relationships/worksheet" Target="worksheets/sheet15.xml"></Relationship><Relationship Id="rId23" Type="http://schemas.openxmlformats.org/officeDocument/2006/relationships/styles" Target="styles.xml"></Relationship><Relationship Id="rId28" Type="http://schemas.openxmlformats.org/officeDocument/2006/relationships/customXml" Target="../customXml/item3.xml"></Relationship><Relationship Id="rId10" Type="http://schemas.openxmlformats.org/officeDocument/2006/relationships/worksheet" Target="worksheets/sheet10.xml"></Relationship><Relationship Id="rId19" Type="http://schemas.openxmlformats.org/officeDocument/2006/relationships/worksheet" Target="worksheets/sheet19.xml"></Relationship><Relationship Id="rId4" Type="http://schemas.openxmlformats.org/officeDocument/2006/relationships/worksheet" Target="worksheets/sheet4.xml"></Relationship><Relationship Id="rId9" Type="http://schemas.openxmlformats.org/officeDocument/2006/relationships/worksheet" Target="worksheets/sheet9.xml"></Relationship><Relationship Id="rId14" Type="http://schemas.openxmlformats.org/officeDocument/2006/relationships/worksheet" Target="worksheets/sheet14.xml"></Relationship><Relationship Id="rId22" Type="http://schemas.openxmlformats.org/officeDocument/2006/relationships/theme" Target="theme/theme1.xml"></Relationship><Relationship Id="rId27" Type="http://schemas.openxmlformats.org/officeDocument/2006/relationships/customXml" Target="../customXml/item2.xml"></Relationship><Relationship Id="rId29" Type="http://schemas.openxmlformats.org/officeDocument/2006/relationships/customXml" Target="../customXml/item4.xml"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0260627077447058"/>
          <c:y val="5.9194744930557458E-2"/>
          <c:w val="0.51568145282030953"/>
          <c:h val="0.80228477885479987"/>
        </c:manualLayout>
      </c:layout>
      <c:doughnut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9D18-48B7-8609-2CCB5D76890F}"/>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9D18-48B7-8609-2CCB5D76890F}"/>
              </c:ext>
            </c:extLst>
          </c:dPt>
          <c:dPt>
            <c:idx val="2"/>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5-9D18-48B7-8609-2CCB5D76890F}"/>
              </c:ext>
            </c:extLst>
          </c:dPt>
          <c:dLbls>
            <c:dLbl>
              <c:idx val="0"/>
              <c:layout>
                <c:manualLayout>
                  <c:x val="9.7763037772452294E-2"/>
                  <c:y val="-0.131128630952184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D18-48B7-8609-2CCB5D76890F}"/>
                </c:ext>
              </c:extLst>
            </c:dLbl>
            <c:dLbl>
              <c:idx val="1"/>
              <c:layout>
                <c:manualLayout>
                  <c:x val="9.7999828825744609E-2"/>
                  <c:y val="0.1452721210939694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D18-48B7-8609-2CCB5D76890F}"/>
                </c:ext>
              </c:extLst>
            </c:dLbl>
            <c:dLbl>
              <c:idx val="2"/>
              <c:layout>
                <c:manualLayout>
                  <c:x val="-5.4347826086956541E-2"/>
                  <c:y val="0.18883759966428865"/>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D18-48B7-8609-2CCB5D76890F}"/>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 LCC inkl. CO2-Kosten'!$L$33:$L$35</c:f>
              <c:strCache>
                <c:ptCount val="3"/>
                <c:pt idx="0">
                  <c:v>Produktion</c:v>
                </c:pt>
                <c:pt idx="1">
                  <c:v>Transport &amp; Installation</c:v>
                </c:pt>
                <c:pt idx="2">
                  <c:v>Nutzung</c:v>
                </c:pt>
              </c:strCache>
            </c:strRef>
          </c:cat>
          <c:val>
            <c:numRef>
              <c:f>'Ergebnis LCC inkl. CO2-Kosten'!$N$33:$N$35</c:f>
              <c:numCache>
                <c:formatCode>_-* #,##0.00\ [$€-407]_-;\-* #,##0.00\ [$€-407]_-;_-* "-"??\ [$€-407]_-;_-@_-</c:formatCode>
                <c:ptCount val="3"/>
                <c:pt idx="0">
                  <c:v>27954.028829999996</c:v>
                </c:pt>
                <c:pt idx="1">
                  <c:v>0</c:v>
                </c:pt>
                <c:pt idx="2">
                  <c:v>3295.5052217724001</c:v>
                </c:pt>
              </c:numCache>
            </c:numRef>
          </c:val>
          <c:extLst>
            <c:ext xmlns:c16="http://schemas.microsoft.com/office/drawing/2014/chart" uri="{C3380CC4-5D6E-409C-BE32-E72D297353CC}">
              <c16:uniqueId val="{00000006-9D18-48B7-8609-2CCB5D76890F}"/>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763147419072616"/>
          <c:y val="0.37355242053076698"/>
          <c:w val="0.26487077822399402"/>
          <c:h val="0.3489581596418094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0260627077447058"/>
          <c:y val="5.9194744930557458E-2"/>
          <c:w val="0.51568145282030953"/>
          <c:h val="0.80228477885479987"/>
        </c:manualLayout>
      </c:layout>
      <c:doughnut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B73A-4764-8113-BF5641AB9956}"/>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B73A-4764-8113-BF5641AB9956}"/>
              </c:ext>
            </c:extLst>
          </c:dPt>
          <c:dPt>
            <c:idx val="2"/>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5-B73A-4764-8113-BF5641AB9956}"/>
              </c:ext>
            </c:extLst>
          </c:dPt>
          <c:dLbls>
            <c:dLbl>
              <c:idx val="0"/>
              <c:layout>
                <c:manualLayout>
                  <c:x val="8.3333333333333329E-2"/>
                  <c:y val="-0.12490894105412657"/>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73A-4764-8113-BF5641AB9956}"/>
                </c:ext>
              </c:extLst>
            </c:dLbl>
            <c:dLbl>
              <c:idx val="1"/>
              <c:layout>
                <c:manualLayout>
                  <c:x val="9.7826086956521743E-2"/>
                  <c:y val="0.1332362037910683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73A-4764-8113-BF5641AB9956}"/>
                </c:ext>
              </c:extLst>
            </c:dLbl>
            <c:dLbl>
              <c:idx val="2"/>
              <c:layout>
                <c:manualLayout>
                  <c:x val="-7.6086956521739149E-2"/>
                  <c:y val="0.18319978021271888"/>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73A-4764-8113-BF5641AB9956}"/>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 LCC inkl. CO2-Kosten'!$L$33:$L$35</c:f>
              <c:strCache>
                <c:ptCount val="3"/>
                <c:pt idx="0">
                  <c:v>Produktion</c:v>
                </c:pt>
                <c:pt idx="1">
                  <c:v>Transport &amp; Installation</c:v>
                </c:pt>
                <c:pt idx="2">
                  <c:v>Nutzung</c:v>
                </c:pt>
              </c:strCache>
            </c:strRef>
          </c:cat>
          <c:val>
            <c:numRef>
              <c:f>'Ergebnis LCC inkl. CO2-Kosten'!$N$33:$N$35</c:f>
              <c:numCache>
                <c:formatCode>_-* #,##0.00\ [$€-407]_-;\-* #,##0.00\ [$€-407]_-;_-* "-"??\ [$€-407]_-;_-@_-</c:formatCode>
                <c:ptCount val="3"/>
                <c:pt idx="0">
                  <c:v>27954.028829999996</c:v>
                </c:pt>
                <c:pt idx="1">
                  <c:v>0</c:v>
                </c:pt>
                <c:pt idx="2">
                  <c:v>3295.5052217724001</c:v>
                </c:pt>
              </c:numCache>
            </c:numRef>
          </c:val>
          <c:extLst>
            <c:ext xmlns:c16="http://schemas.microsoft.com/office/drawing/2014/chart" uri="{C3380CC4-5D6E-409C-BE32-E72D297353CC}">
              <c16:uniqueId val="{00000006-B73A-4764-8113-BF5641AB9956}"/>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763147419072616"/>
          <c:y val="0.37355242053076698"/>
          <c:w val="0.26487077822399402"/>
          <c:h val="0.3489581596418094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1986280</xdr:colOff>
      <xdr:row>0</xdr:row>
      <xdr:rowOff>0</xdr:rowOff>
    </xdr:from>
    <xdr:to>
      <xdr:col>6</xdr:col>
      <xdr:colOff>637203</xdr:colOff>
      <xdr:row>1</xdr:row>
      <xdr:rowOff>362631</xdr:rowOff>
    </xdr:to>
    <xdr:pic>
      <xdr:nvPicPr>
        <xdr:cNvPr id="2" name="Grafik 1" descr="logo LCC-CO2 Tool">
          <a:extLst>
            <a:ext uri="{FF2B5EF4-FFF2-40B4-BE49-F238E27FC236}">
              <a16:creationId xmlns:a16="http://schemas.microsoft.com/office/drawing/2014/main" id="{E5E48ED3-B0CD-4CC8-B2A3-513CB968A000}"/>
            </a:ext>
          </a:extLst>
        </xdr:cNvPr>
        <xdr:cNvPicPr>
          <a:picLocks noChangeAspect="1"/>
        </xdr:cNvPicPr>
      </xdr:nvPicPr>
      <xdr:blipFill>
        <a:blip xmlns:r="http://schemas.openxmlformats.org/officeDocument/2006/relationships" r:embed="rId1"/>
        <a:stretch>
          <a:fillRect/>
        </a:stretch>
      </xdr:blipFill>
      <xdr:spPr>
        <a:xfrm>
          <a:off x="8097520" y="0"/>
          <a:ext cx="2142153" cy="85285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353060</xdr:colOff>
      <xdr:row>28</xdr:row>
      <xdr:rowOff>167640</xdr:rowOff>
    </xdr:from>
    <xdr:to>
      <xdr:col>14</xdr:col>
      <xdr:colOff>4023360</xdr:colOff>
      <xdr:row>43</xdr:row>
      <xdr:rowOff>0</xdr:rowOff>
    </xdr:to>
    <xdr:graphicFrame macro="">
      <xdr:nvGraphicFramePr>
        <xdr:cNvPr id="6" name="Chart 1" descr="Grafik THG-Emissionskosten nach Prozentsatz der Lebenszyklusphase (Produktion, Errichtung, Nutzung)">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1564490</xdr:colOff>
      <xdr:row>0</xdr:row>
      <xdr:rowOff>58829</xdr:rowOff>
    </xdr:from>
    <xdr:to>
      <xdr:col>14</xdr:col>
      <xdr:colOff>4041502</xdr:colOff>
      <xdr:row>3</xdr:row>
      <xdr:rowOff>21141</xdr:rowOff>
    </xdr:to>
    <xdr:pic>
      <xdr:nvPicPr>
        <xdr:cNvPr id="3" name="Grafik 2" descr="Logo LCC-CO2 ">
          <a:extLst>
            <a:ext uri="{FF2B5EF4-FFF2-40B4-BE49-F238E27FC236}">
              <a16:creationId xmlns:a16="http://schemas.microsoft.com/office/drawing/2014/main" id="{901B250A-F550-4510-93AF-D2D4A05EAD59}"/>
            </a:ext>
          </a:extLst>
        </xdr:cNvPr>
        <xdr:cNvPicPr>
          <a:picLocks noChangeAspect="1"/>
        </xdr:cNvPicPr>
      </xdr:nvPicPr>
      <xdr:blipFill>
        <a:blip xmlns:r="http://schemas.openxmlformats.org/officeDocument/2006/relationships" r:embed="rId2"/>
        <a:stretch>
          <a:fillRect/>
        </a:stretch>
      </xdr:blipFill>
      <xdr:spPr>
        <a:xfrm>
          <a:off x="14651840" y="58829"/>
          <a:ext cx="2478282" cy="99418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3097953</xdr:colOff>
      <xdr:row>1</xdr:row>
      <xdr:rowOff>8467</xdr:rowOff>
    </xdr:from>
    <xdr:to>
      <xdr:col>10</xdr:col>
      <xdr:colOff>20985</xdr:colOff>
      <xdr:row>2</xdr:row>
      <xdr:rowOff>401034</xdr:rowOff>
    </xdr:to>
    <xdr:pic>
      <xdr:nvPicPr>
        <xdr:cNvPr id="2" name="Grafik 1" descr="Logo LCC-CO2">
          <a:extLst>
            <a:ext uri="{FF2B5EF4-FFF2-40B4-BE49-F238E27FC236}">
              <a16:creationId xmlns:a16="http://schemas.microsoft.com/office/drawing/2014/main" id="{44670211-16AB-4350-817B-F600A09FFED2}"/>
            </a:ext>
          </a:extLst>
        </xdr:cNvPr>
        <xdr:cNvPicPr>
          <a:picLocks noChangeAspect="1"/>
        </xdr:cNvPicPr>
      </xdr:nvPicPr>
      <xdr:blipFill>
        <a:blip xmlns:r="http://schemas.openxmlformats.org/officeDocument/2006/relationships" r:embed="rId1"/>
        <a:stretch>
          <a:fillRect/>
        </a:stretch>
      </xdr:blipFill>
      <xdr:spPr>
        <a:xfrm>
          <a:off x="14138486" y="194734"/>
          <a:ext cx="2059336" cy="8247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14</xdr:col>
      <xdr:colOff>1545590</xdr:colOff>
      <xdr:row>0</xdr:row>
      <xdr:rowOff>62774</xdr:rowOff>
    </xdr:from>
    <xdr:to>
      <xdr:col>16</xdr:col>
      <xdr:colOff>20470</xdr:colOff>
      <xdr:row>3</xdr:row>
      <xdr:rowOff>99</xdr:rowOff>
    </xdr:to>
    <xdr:pic>
      <xdr:nvPicPr>
        <xdr:cNvPr id="3" name="Grafik 2" descr="Logo LCC-CO2 ">
          <a:extLst>
            <a:ext uri="{FF2B5EF4-FFF2-40B4-BE49-F238E27FC236}">
              <a16:creationId xmlns:a16="http://schemas.microsoft.com/office/drawing/2014/main" id="{209A322A-A5ED-4FFC-A4C6-DEACA13CEEF0}"/>
            </a:ext>
          </a:extLst>
        </xdr:cNvPr>
        <xdr:cNvPicPr>
          <a:picLocks noChangeAspect="1"/>
        </xdr:cNvPicPr>
      </xdr:nvPicPr>
      <xdr:blipFill>
        <a:blip xmlns:r="http://schemas.openxmlformats.org/officeDocument/2006/relationships" r:embed="rId1"/>
        <a:stretch>
          <a:fillRect/>
        </a:stretch>
      </xdr:blipFill>
      <xdr:spPr>
        <a:xfrm>
          <a:off x="14632940" y="62774"/>
          <a:ext cx="2496970" cy="975550"/>
        </a:xfrm>
        <a:prstGeom prst="rect">
          <a:avLst/>
        </a:prstGeom>
      </xdr:spPr>
    </xdr:pic>
    <xdr:clientData/>
  </xdr:twoCellAnchor>
  <xdr:twoCellAnchor>
    <xdr:from>
      <xdr:col>14</xdr:col>
      <xdr:colOff>353060</xdr:colOff>
      <xdr:row>28</xdr:row>
      <xdr:rowOff>167640</xdr:rowOff>
    </xdr:from>
    <xdr:to>
      <xdr:col>14</xdr:col>
      <xdr:colOff>4023360</xdr:colOff>
      <xdr:row>43</xdr:row>
      <xdr:rowOff>0</xdr:rowOff>
    </xdr:to>
    <xdr:graphicFrame macro="">
      <xdr:nvGraphicFramePr>
        <xdr:cNvPr id="4" name="Chart 1" descr="Grafik THG-Emissionskosten nach Prozentsatz der Lebenszyklusphase (Produktion, Errichtung, Nutzung)">
          <a:extLst>
            <a:ext uri="{FF2B5EF4-FFF2-40B4-BE49-F238E27FC236}">
              <a16:creationId xmlns:a16="http://schemas.microsoft.com/office/drawing/2014/main" id="{9A71259D-4231-4CC4-81CE-B6FD7E8E3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1139825</xdr:colOff>
      <xdr:row>0</xdr:row>
      <xdr:rowOff>0</xdr:rowOff>
    </xdr:from>
    <xdr:to>
      <xdr:col>13</xdr:col>
      <xdr:colOff>708773</xdr:colOff>
      <xdr:row>1</xdr:row>
      <xdr:rowOff>592627</xdr:rowOff>
    </xdr:to>
    <xdr:pic>
      <xdr:nvPicPr>
        <xdr:cNvPr id="4" name="Grafik 3" descr="Logo LCC-CO2">
          <a:extLst>
            <a:ext uri="{FF2B5EF4-FFF2-40B4-BE49-F238E27FC236}">
              <a16:creationId xmlns:a16="http://schemas.microsoft.com/office/drawing/2014/main" id="{E6A6687E-0DFD-4622-9351-09478323938D}"/>
            </a:ext>
          </a:extLst>
        </xdr:cNvPr>
        <xdr:cNvPicPr>
          <a:picLocks noChangeAspect="1"/>
        </xdr:cNvPicPr>
      </xdr:nvPicPr>
      <xdr:blipFill>
        <a:blip xmlns:r="http://schemas.openxmlformats.org/officeDocument/2006/relationships" r:embed="rId1"/>
        <a:stretch>
          <a:fillRect/>
        </a:stretch>
      </xdr:blipFill>
      <xdr:spPr>
        <a:xfrm>
          <a:off x="15332075" y="0"/>
          <a:ext cx="2090608" cy="8212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971550</xdr:colOff>
      <xdr:row>0</xdr:row>
      <xdr:rowOff>0</xdr:rowOff>
    </xdr:from>
    <xdr:to>
      <xdr:col>18</xdr:col>
      <xdr:colOff>36383</xdr:colOff>
      <xdr:row>2</xdr:row>
      <xdr:rowOff>134157</xdr:rowOff>
    </xdr:to>
    <xdr:pic>
      <xdr:nvPicPr>
        <xdr:cNvPr id="2" name="Grafik 1" descr="Logo LCC-CO2">
          <a:extLst>
            <a:ext uri="{FF2B5EF4-FFF2-40B4-BE49-F238E27FC236}">
              <a16:creationId xmlns:a16="http://schemas.microsoft.com/office/drawing/2014/main" id="{23595CC3-F7E7-4EB2-B67B-DE27E851D696}"/>
            </a:ext>
          </a:extLst>
        </xdr:cNvPr>
        <xdr:cNvPicPr>
          <a:picLocks noChangeAspect="1"/>
        </xdr:cNvPicPr>
      </xdr:nvPicPr>
      <xdr:blipFill>
        <a:blip xmlns:r="http://schemas.openxmlformats.org/officeDocument/2006/relationships" r:embed="rId1"/>
        <a:stretch>
          <a:fillRect/>
        </a:stretch>
      </xdr:blipFill>
      <xdr:spPr>
        <a:xfrm>
          <a:off x="8458200" y="0"/>
          <a:ext cx="2093783" cy="81868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1028700</xdr:colOff>
      <xdr:row>0</xdr:row>
      <xdr:rowOff>0</xdr:rowOff>
    </xdr:from>
    <xdr:to>
      <xdr:col>10</xdr:col>
      <xdr:colOff>669478</xdr:colOff>
      <xdr:row>4</xdr:row>
      <xdr:rowOff>23032</xdr:rowOff>
    </xdr:to>
    <xdr:pic>
      <xdr:nvPicPr>
        <xdr:cNvPr id="2" name="Grafik 1" descr="Logo LCC-CO2">
          <a:extLst>
            <a:ext uri="{FF2B5EF4-FFF2-40B4-BE49-F238E27FC236}">
              <a16:creationId xmlns:a16="http://schemas.microsoft.com/office/drawing/2014/main" id="{73758974-4339-4C25-BAF0-1509F7BC30EA}"/>
            </a:ext>
          </a:extLst>
        </xdr:cNvPr>
        <xdr:cNvPicPr>
          <a:picLocks noChangeAspect="1"/>
        </xdr:cNvPicPr>
      </xdr:nvPicPr>
      <xdr:blipFill>
        <a:blip xmlns:r="http://schemas.openxmlformats.org/officeDocument/2006/relationships" r:embed="rId1"/>
        <a:stretch>
          <a:fillRect/>
        </a:stretch>
      </xdr:blipFill>
      <xdr:spPr>
        <a:xfrm>
          <a:off x="11630025" y="0"/>
          <a:ext cx="2095688" cy="82948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402167</xdr:colOff>
      <xdr:row>0</xdr:row>
      <xdr:rowOff>0</xdr:rowOff>
    </xdr:from>
    <xdr:to>
      <xdr:col>11</xdr:col>
      <xdr:colOff>1051801</xdr:colOff>
      <xdr:row>0</xdr:row>
      <xdr:rowOff>821192</xdr:rowOff>
    </xdr:to>
    <xdr:pic>
      <xdr:nvPicPr>
        <xdr:cNvPr id="4" name="Grafik 3" descr="Logo LCC-CO2">
          <a:extLst>
            <a:ext uri="{FF2B5EF4-FFF2-40B4-BE49-F238E27FC236}">
              <a16:creationId xmlns:a16="http://schemas.microsoft.com/office/drawing/2014/main" id="{66A158D4-DD45-4C3A-A57A-CE0996E5D037}"/>
            </a:ext>
          </a:extLst>
        </xdr:cNvPr>
        <xdr:cNvPicPr>
          <a:picLocks noChangeAspect="1"/>
        </xdr:cNvPicPr>
      </xdr:nvPicPr>
      <xdr:blipFill>
        <a:blip xmlns:r="http://schemas.openxmlformats.org/officeDocument/2006/relationships" r:embed="rId1"/>
        <a:stretch>
          <a:fillRect/>
        </a:stretch>
      </xdr:blipFill>
      <xdr:spPr>
        <a:xfrm>
          <a:off x="12096750" y="0"/>
          <a:ext cx="2085369" cy="81166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17</xdr:col>
      <xdr:colOff>968375</xdr:colOff>
      <xdr:row>0</xdr:row>
      <xdr:rowOff>0</xdr:rowOff>
    </xdr:from>
    <xdr:to>
      <xdr:col>19</xdr:col>
      <xdr:colOff>688369</xdr:colOff>
      <xdr:row>1</xdr:row>
      <xdr:rowOff>2042</xdr:rowOff>
    </xdr:to>
    <xdr:pic>
      <xdr:nvPicPr>
        <xdr:cNvPr id="3" name="Grafik 2" descr="Logo LCC-CO2">
          <a:extLst>
            <a:ext uri="{FF2B5EF4-FFF2-40B4-BE49-F238E27FC236}">
              <a16:creationId xmlns:a16="http://schemas.microsoft.com/office/drawing/2014/main" id="{470C612B-313F-4C5D-BA3D-56682719485E}"/>
            </a:ext>
          </a:extLst>
        </xdr:cNvPr>
        <xdr:cNvPicPr>
          <a:picLocks noChangeAspect="1"/>
        </xdr:cNvPicPr>
      </xdr:nvPicPr>
      <xdr:blipFill>
        <a:blip xmlns:r="http://schemas.openxmlformats.org/officeDocument/2006/relationships" r:embed="rId1"/>
        <a:stretch>
          <a:fillRect/>
        </a:stretch>
      </xdr:blipFill>
      <xdr:spPr>
        <a:xfrm>
          <a:off x="15436850" y="0"/>
          <a:ext cx="2091719" cy="81166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645583</xdr:colOff>
      <xdr:row>0</xdr:row>
      <xdr:rowOff>0</xdr:rowOff>
    </xdr:from>
    <xdr:to>
      <xdr:col>9</xdr:col>
      <xdr:colOff>2729047</xdr:colOff>
      <xdr:row>0</xdr:row>
      <xdr:rowOff>802142</xdr:rowOff>
    </xdr:to>
    <xdr:pic>
      <xdr:nvPicPr>
        <xdr:cNvPr id="3" name="Grafik 2" descr="Logo LCC-CO2">
          <a:extLst>
            <a:ext uri="{FF2B5EF4-FFF2-40B4-BE49-F238E27FC236}">
              <a16:creationId xmlns:a16="http://schemas.microsoft.com/office/drawing/2014/main" id="{50746942-1ADD-4125-8DBC-83F692A97234}"/>
            </a:ext>
          </a:extLst>
        </xdr:cNvPr>
        <xdr:cNvPicPr>
          <a:picLocks noChangeAspect="1"/>
        </xdr:cNvPicPr>
      </xdr:nvPicPr>
      <xdr:blipFill>
        <a:blip xmlns:r="http://schemas.openxmlformats.org/officeDocument/2006/relationships" r:embed="rId1"/>
        <a:stretch>
          <a:fillRect/>
        </a:stretch>
      </xdr:blipFill>
      <xdr:spPr>
        <a:xfrm>
          <a:off x="10646833" y="0"/>
          <a:ext cx="2085369" cy="80531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1162775</xdr:colOff>
      <xdr:row>4</xdr:row>
      <xdr:rowOff>778246</xdr:rowOff>
    </xdr:from>
    <xdr:to>
      <xdr:col>2</xdr:col>
      <xdr:colOff>2324100</xdr:colOff>
      <xdr:row>4</xdr:row>
      <xdr:rowOff>1126940</xdr:rowOff>
    </xdr:to>
    <xdr:pic>
      <xdr:nvPicPr>
        <xdr:cNvPr id="7" name="Grafik 1">
          <a:extLst>
            <a:ext uri="{FF2B5EF4-FFF2-40B4-BE49-F238E27FC236}">
              <a16:creationId xmlns:a16="http://schemas.microsoft.com/office/drawing/2014/main" id="{3AD2200E-FD8B-422B-B63C-7B852627BA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925" y="2092696"/>
          <a:ext cx="1161325" cy="343614"/>
        </a:xfrm>
        <a:prstGeom prst="rect">
          <a:avLst/>
        </a:prstGeom>
        <a:effectLst>
          <a:outerShdw blurRad="50800" dist="38100" dir="2700000" algn="tl" rotWithShape="0">
            <a:prstClr val="black">
              <a:alpha val="40000"/>
            </a:prstClr>
          </a:outerShdw>
        </a:effectLst>
      </xdr:spPr>
    </xdr:pic>
    <xdr:clientData/>
  </xdr:twoCellAnchor>
  <xdr:twoCellAnchor editAs="oneCell">
    <xdr:from>
      <xdr:col>2</xdr:col>
      <xdr:colOff>55245</xdr:colOff>
      <xdr:row>4</xdr:row>
      <xdr:rowOff>774065</xdr:rowOff>
    </xdr:from>
    <xdr:to>
      <xdr:col>2</xdr:col>
      <xdr:colOff>1089477</xdr:colOff>
      <xdr:row>4</xdr:row>
      <xdr:rowOff>1115147</xdr:rowOff>
    </xdr:to>
    <xdr:pic>
      <xdr:nvPicPr>
        <xdr:cNvPr id="6" name="Grafik 2">
          <a:extLst>
            <a:ext uri="{FF2B5EF4-FFF2-40B4-BE49-F238E27FC236}">
              <a16:creationId xmlns:a16="http://schemas.microsoft.com/office/drawing/2014/main" id="{E61DE541-99B6-41EB-86CF-A2CC3492139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395" y="2088515"/>
          <a:ext cx="1040582" cy="337272"/>
        </a:xfrm>
        <a:prstGeom prst="rect">
          <a:avLst/>
        </a:prstGeom>
        <a:ln>
          <a:solidFill>
            <a:schemeClr val="tx1"/>
          </a:solidFill>
        </a:ln>
        <a:effectLst>
          <a:outerShdw blurRad="50800" dist="38100" dir="2700000" algn="tl" rotWithShape="0">
            <a:prstClr val="black">
              <a:alpha val="40000"/>
            </a:prstClr>
          </a:outerShdw>
        </a:effectLst>
      </xdr:spPr>
    </xdr:pic>
    <xdr:clientData/>
  </xdr:twoCellAnchor>
  <xdr:twoCellAnchor editAs="oneCell">
    <xdr:from>
      <xdr:col>2</xdr:col>
      <xdr:colOff>4483100</xdr:colOff>
      <xdr:row>0</xdr:row>
      <xdr:rowOff>124460</xdr:rowOff>
    </xdr:from>
    <xdr:to>
      <xdr:col>3</xdr:col>
      <xdr:colOff>25429</xdr:colOff>
      <xdr:row>2</xdr:row>
      <xdr:rowOff>362722</xdr:rowOff>
    </xdr:to>
    <xdr:pic>
      <xdr:nvPicPr>
        <xdr:cNvPr id="4" name="Grafik 3" descr="Logo LCC-CO2">
          <a:extLst>
            <a:ext uri="{FF2B5EF4-FFF2-40B4-BE49-F238E27FC236}">
              <a16:creationId xmlns:a16="http://schemas.microsoft.com/office/drawing/2014/main" id="{5011DBE4-A262-4A56-9098-F4CA3FE5ED17}"/>
            </a:ext>
          </a:extLst>
        </xdr:cNvPr>
        <xdr:cNvPicPr>
          <a:picLocks noChangeAspect="1"/>
        </xdr:cNvPicPr>
      </xdr:nvPicPr>
      <xdr:blipFill>
        <a:blip xmlns:r="http://schemas.openxmlformats.org/officeDocument/2006/relationships" r:embed="rId3"/>
        <a:stretch>
          <a:fillRect/>
        </a:stretch>
      </xdr:blipFill>
      <xdr:spPr>
        <a:xfrm>
          <a:off x="4917440" y="124460"/>
          <a:ext cx="2110769" cy="828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20096</xdr:colOff>
      <xdr:row>11</xdr:row>
      <xdr:rowOff>13299</xdr:rowOff>
    </xdr:from>
    <xdr:ext cx="9662384" cy="374141"/>
    <xdr:sp macro="" textlink="">
      <xdr:nvSpPr>
        <xdr:cNvPr id="3" name="Rechteck 2">
          <a:extLst>
            <a:ext uri="{FF2B5EF4-FFF2-40B4-BE49-F238E27FC236}">
              <a16:creationId xmlns:a16="http://schemas.microsoft.com/office/drawing/2014/main" id="{9BEADF6C-0D28-4484-AFB3-CE016946F9BD}"/>
            </a:ext>
          </a:extLst>
        </xdr:cNvPr>
        <xdr:cNvSpPr/>
      </xdr:nvSpPr>
      <xdr:spPr>
        <a:xfrm>
          <a:off x="180116" y="2756499"/>
          <a:ext cx="9662384" cy="374141"/>
        </a:xfrm>
        <a:prstGeom prst="rect">
          <a:avLst/>
        </a:prstGeom>
        <a:solidFill>
          <a:srgbClr val="FFD288"/>
        </a:solidFill>
        <a:effectLst>
          <a:outerShdw blurRad="50800" dist="38100" dir="2700000" algn="tl" rotWithShape="0">
            <a:prstClr val="black">
              <a:alpha val="40000"/>
            </a:prstClr>
          </a:outerShdw>
        </a:effectLst>
      </xdr:spPr>
      <xdr:txBody>
        <a:bodyPr wrap="square" lIns="91440" tIns="45720" rIns="91440" bIns="45720">
          <a:spAutoFit/>
        </a:bodyPr>
        <a:lstStyle/>
        <a:p>
          <a:pPr algn="l"/>
          <a:r>
            <a:rPr lang="de-DE" sz="1800" b="1" i="1" cap="none" spc="0">
              <a:ln w="22225">
                <a:noFill/>
                <a:prstDash val="solid"/>
              </a:ln>
              <a:solidFill>
                <a:schemeClr val="tx1">
                  <a:lumMod val="75000"/>
                  <a:lumOff val="25000"/>
                </a:schemeClr>
              </a:solidFill>
              <a:effectLst/>
            </a:rPr>
            <a:t>Hier trägt</a:t>
          </a:r>
          <a:r>
            <a:rPr lang="de-DE" sz="1800" b="1" i="1" cap="none" spc="0" baseline="0">
              <a:ln w="22225">
                <a:noFill/>
                <a:prstDash val="solid"/>
              </a:ln>
              <a:solidFill>
                <a:schemeClr val="tx1">
                  <a:lumMod val="75000"/>
                  <a:lumOff val="25000"/>
                </a:schemeClr>
              </a:solidFill>
              <a:effectLst/>
            </a:rPr>
            <a:t> die Beschaffungsstelle das Punktevergabeschema und die Anleitung für das Preisblatt ein</a:t>
          </a:r>
          <a:endParaRPr lang="de-DE" sz="1800" b="1" i="1" cap="none" spc="0">
            <a:ln w="22225">
              <a:noFill/>
              <a:prstDash val="solid"/>
            </a:ln>
            <a:solidFill>
              <a:schemeClr val="tx1">
                <a:lumMod val="75000"/>
                <a:lumOff val="25000"/>
              </a:schemeClr>
            </a:solidFill>
            <a:effectLst/>
          </a:endParaRPr>
        </a:p>
      </xdr:txBody>
    </xdr:sp>
    <xdr:clientData/>
  </xdr:oneCellAnchor>
  <xdr:twoCellAnchor editAs="oneCell">
    <xdr:from>
      <xdr:col>17</xdr:col>
      <xdr:colOff>433916</xdr:colOff>
      <xdr:row>0</xdr:row>
      <xdr:rowOff>0</xdr:rowOff>
    </xdr:from>
    <xdr:to>
      <xdr:col>18</xdr:col>
      <xdr:colOff>1698835</xdr:colOff>
      <xdr:row>0</xdr:row>
      <xdr:rowOff>824911</xdr:rowOff>
    </xdr:to>
    <xdr:pic>
      <xdr:nvPicPr>
        <xdr:cNvPr id="4" name="Grafik 3" descr="Logo LCC-CO2">
          <a:extLst>
            <a:ext uri="{FF2B5EF4-FFF2-40B4-BE49-F238E27FC236}">
              <a16:creationId xmlns:a16="http://schemas.microsoft.com/office/drawing/2014/main" id="{9A07619B-DBD0-43D2-B532-20BBB7905A8F}"/>
            </a:ext>
          </a:extLst>
        </xdr:cNvPr>
        <xdr:cNvPicPr>
          <a:picLocks noChangeAspect="1"/>
        </xdr:cNvPicPr>
      </xdr:nvPicPr>
      <xdr:blipFill>
        <a:blip xmlns:r="http://schemas.openxmlformats.org/officeDocument/2006/relationships" r:embed="rId1"/>
        <a:stretch>
          <a:fillRect/>
        </a:stretch>
      </xdr:blipFill>
      <xdr:spPr>
        <a:xfrm>
          <a:off x="14266333" y="0"/>
          <a:ext cx="2087032" cy="807131"/>
        </a:xfrm>
        <a:prstGeom prst="rect">
          <a:avLst/>
        </a:prstGeom>
      </xdr:spPr>
    </xdr:pic>
    <xdr:clientData/>
  </xdr:twoCellAnchor>
  <xdr:twoCellAnchor>
    <xdr:from>
      <xdr:col>4</xdr:col>
      <xdr:colOff>1330325</xdr:colOff>
      <xdr:row>6</xdr:row>
      <xdr:rowOff>82550</xdr:rowOff>
    </xdr:from>
    <xdr:to>
      <xdr:col>5</xdr:col>
      <xdr:colOff>838200</xdr:colOff>
      <xdr:row>7</xdr:row>
      <xdr:rowOff>101600</xdr:rowOff>
    </xdr:to>
    <xdr:sp macro="" textlink="">
      <xdr:nvSpPr>
        <xdr:cNvPr id="2" name="Pfeil: nach rechts 1">
          <a:extLst>
            <a:ext uri="{FF2B5EF4-FFF2-40B4-BE49-F238E27FC236}">
              <a16:creationId xmlns:a16="http://schemas.microsoft.com/office/drawing/2014/main" id="{59546D4C-B8F2-43DA-8D6C-A30CAD68F9AE}"/>
            </a:ext>
            <a:ext uri="{C183D7F6-B498-43B3-948B-1728B52AA6E4}">
              <adec:decorative xmlns:adec="http://schemas.microsoft.com/office/drawing/2017/decorative" val="1"/>
            </a:ext>
          </a:extLst>
        </xdr:cNvPr>
        <xdr:cNvSpPr/>
      </xdr:nvSpPr>
      <xdr:spPr>
        <a:xfrm>
          <a:off x="4244975" y="1892300"/>
          <a:ext cx="850900" cy="200025"/>
        </a:xfrm>
        <a:prstGeom prst="rightArrow">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74930</xdr:colOff>
      <xdr:row>0</xdr:row>
      <xdr:rowOff>151130</xdr:rowOff>
    </xdr:from>
    <xdr:to>
      <xdr:col>7</xdr:col>
      <xdr:colOff>40427</xdr:colOff>
      <xdr:row>3</xdr:row>
      <xdr:rowOff>135301</xdr:rowOff>
    </xdr:to>
    <xdr:pic>
      <xdr:nvPicPr>
        <xdr:cNvPr id="2" name="Grafik 1" descr="Logo LCC-CO2">
          <a:extLst>
            <a:ext uri="{FF2B5EF4-FFF2-40B4-BE49-F238E27FC236}">
              <a16:creationId xmlns:a16="http://schemas.microsoft.com/office/drawing/2014/main" id="{EC148C37-FFDD-4B58-8065-BAA05E13D90A}"/>
            </a:ext>
          </a:extLst>
        </xdr:cNvPr>
        <xdr:cNvPicPr>
          <a:picLocks noChangeAspect="1"/>
        </xdr:cNvPicPr>
      </xdr:nvPicPr>
      <xdr:blipFill>
        <a:blip xmlns:r="http://schemas.openxmlformats.org/officeDocument/2006/relationships" r:embed="rId1"/>
        <a:stretch>
          <a:fillRect/>
        </a:stretch>
      </xdr:blipFill>
      <xdr:spPr>
        <a:xfrm>
          <a:off x="8312150" y="151130"/>
          <a:ext cx="2083857" cy="8452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2581275</xdr:colOff>
      <xdr:row>1</xdr:row>
      <xdr:rowOff>20320</xdr:rowOff>
    </xdr:from>
    <xdr:to>
      <xdr:col>8</xdr:col>
      <xdr:colOff>21377</xdr:colOff>
      <xdr:row>3</xdr:row>
      <xdr:rowOff>137841</xdr:rowOff>
    </xdr:to>
    <xdr:pic>
      <xdr:nvPicPr>
        <xdr:cNvPr id="2" name="Grafik 1" descr="Logo LCC-CO2">
          <a:extLst>
            <a:ext uri="{FF2B5EF4-FFF2-40B4-BE49-F238E27FC236}">
              <a16:creationId xmlns:a16="http://schemas.microsoft.com/office/drawing/2014/main" id="{EC31FA97-C8D6-4773-A4DF-922EFC0475E1}"/>
            </a:ext>
          </a:extLst>
        </xdr:cNvPr>
        <xdr:cNvPicPr>
          <a:picLocks noChangeAspect="1"/>
        </xdr:cNvPicPr>
      </xdr:nvPicPr>
      <xdr:blipFill>
        <a:blip xmlns:r="http://schemas.openxmlformats.org/officeDocument/2006/relationships" r:embed="rId1"/>
        <a:stretch>
          <a:fillRect/>
        </a:stretch>
      </xdr:blipFill>
      <xdr:spPr>
        <a:xfrm>
          <a:off x="9629775" y="149860"/>
          <a:ext cx="2087032" cy="82364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595630</xdr:colOff>
      <xdr:row>0</xdr:row>
      <xdr:rowOff>130175</xdr:rowOff>
    </xdr:from>
    <xdr:to>
      <xdr:col>7</xdr:col>
      <xdr:colOff>25640</xdr:colOff>
      <xdr:row>2</xdr:row>
      <xdr:rowOff>326527</xdr:rowOff>
    </xdr:to>
    <xdr:pic>
      <xdr:nvPicPr>
        <xdr:cNvPr id="2" name="Grafik 1" descr="Logo LCC-CO2">
          <a:extLst>
            <a:ext uri="{FF2B5EF4-FFF2-40B4-BE49-F238E27FC236}">
              <a16:creationId xmlns:a16="http://schemas.microsoft.com/office/drawing/2014/main" id="{B10B4047-4693-4E9F-A914-D2C395B61770}"/>
            </a:ext>
          </a:extLst>
        </xdr:cNvPr>
        <xdr:cNvPicPr>
          <a:picLocks noChangeAspect="1"/>
        </xdr:cNvPicPr>
      </xdr:nvPicPr>
      <xdr:blipFill>
        <a:blip xmlns:r="http://schemas.openxmlformats.org/officeDocument/2006/relationships" r:embed="rId1"/>
        <a:stretch>
          <a:fillRect/>
        </a:stretch>
      </xdr:blipFill>
      <xdr:spPr>
        <a:xfrm>
          <a:off x="8657590" y="130175"/>
          <a:ext cx="2112250" cy="8173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3152775</xdr:colOff>
      <xdr:row>1</xdr:row>
      <xdr:rowOff>321945</xdr:rowOff>
    </xdr:from>
    <xdr:to>
      <xdr:col>5</xdr:col>
      <xdr:colOff>25429</xdr:colOff>
      <xdr:row>4</xdr:row>
      <xdr:rowOff>113802</xdr:rowOff>
    </xdr:to>
    <xdr:pic>
      <xdr:nvPicPr>
        <xdr:cNvPr id="2" name="Grafik 1" descr="Logo LCC-CO2">
          <a:extLst>
            <a:ext uri="{FF2B5EF4-FFF2-40B4-BE49-F238E27FC236}">
              <a16:creationId xmlns:a16="http://schemas.microsoft.com/office/drawing/2014/main" id="{1BECCF1E-2324-45C6-B113-FD76AA8960B9}"/>
            </a:ext>
          </a:extLst>
        </xdr:cNvPr>
        <xdr:cNvPicPr>
          <a:picLocks noChangeAspect="1"/>
        </xdr:cNvPicPr>
      </xdr:nvPicPr>
      <xdr:blipFill>
        <a:blip xmlns:r="http://schemas.openxmlformats.org/officeDocument/2006/relationships" r:embed="rId1"/>
        <a:stretch>
          <a:fillRect/>
        </a:stretch>
      </xdr:blipFill>
      <xdr:spPr>
        <a:xfrm>
          <a:off x="5255895" y="474345"/>
          <a:ext cx="2073304" cy="82817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260985</xdr:colOff>
      <xdr:row>0</xdr:row>
      <xdr:rowOff>111972</xdr:rowOff>
    </xdr:from>
    <xdr:to>
      <xdr:col>8</xdr:col>
      <xdr:colOff>934749</xdr:colOff>
      <xdr:row>2</xdr:row>
      <xdr:rowOff>330549</xdr:rowOff>
    </xdr:to>
    <xdr:pic>
      <xdr:nvPicPr>
        <xdr:cNvPr id="2" name="Grafik 1" descr="Logo LCC-CO2">
          <a:extLst>
            <a:ext uri="{FF2B5EF4-FFF2-40B4-BE49-F238E27FC236}">
              <a16:creationId xmlns:a16="http://schemas.microsoft.com/office/drawing/2014/main" id="{536869CB-3BA2-4FA0-BBB0-ABD6E77FA44C}"/>
            </a:ext>
          </a:extLst>
        </xdr:cNvPr>
        <xdr:cNvPicPr>
          <a:picLocks noChangeAspect="1"/>
        </xdr:cNvPicPr>
      </xdr:nvPicPr>
      <xdr:blipFill>
        <a:blip xmlns:r="http://schemas.openxmlformats.org/officeDocument/2006/relationships" r:embed="rId1"/>
        <a:stretch>
          <a:fillRect/>
        </a:stretch>
      </xdr:blipFill>
      <xdr:spPr>
        <a:xfrm>
          <a:off x="7294245" y="111972"/>
          <a:ext cx="2111404" cy="81547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20743</xdr:colOff>
      <xdr:row>13</xdr:row>
      <xdr:rowOff>56589</xdr:rowOff>
    </xdr:from>
    <xdr:to>
      <xdr:col>5</xdr:col>
      <xdr:colOff>2197183</xdr:colOff>
      <xdr:row>16</xdr:row>
      <xdr:rowOff>253003</xdr:rowOff>
    </xdr:to>
    <xdr:pic>
      <xdr:nvPicPr>
        <xdr:cNvPr id="9" name="Grafik 8" descr="Finanzmathematische Grundlagen - Grundlagen Bankwesen | Bank-Wissen.de">
          <a:extLst>
            <a:ext uri="{FF2B5EF4-FFF2-40B4-BE49-F238E27FC236}">
              <a16:creationId xmlns:a16="http://schemas.microsoft.com/office/drawing/2014/main" id="{9D69A60E-D0B3-A7E9-DD30-72AC03DB9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2210" y="4239122"/>
          <a:ext cx="2157390" cy="741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4262755</xdr:colOff>
      <xdr:row>0</xdr:row>
      <xdr:rowOff>125731</xdr:rowOff>
    </xdr:from>
    <xdr:to>
      <xdr:col>5</xdr:col>
      <xdr:colOff>6347013</xdr:colOff>
      <xdr:row>2</xdr:row>
      <xdr:rowOff>58663</xdr:rowOff>
    </xdr:to>
    <xdr:pic>
      <xdr:nvPicPr>
        <xdr:cNvPr id="2" name="Grafik 1" descr="Logo LCC-CO2">
          <a:extLst>
            <a:ext uri="{FF2B5EF4-FFF2-40B4-BE49-F238E27FC236}">
              <a16:creationId xmlns:a16="http://schemas.microsoft.com/office/drawing/2014/main" id="{01F4D2DC-7452-4D3D-9F2A-67025FA471EF}"/>
            </a:ext>
          </a:extLst>
        </xdr:cNvPr>
        <xdr:cNvPicPr>
          <a:picLocks noChangeAspect="1"/>
        </xdr:cNvPicPr>
      </xdr:nvPicPr>
      <xdr:blipFill>
        <a:blip xmlns:r="http://schemas.openxmlformats.org/officeDocument/2006/relationships" r:embed="rId2"/>
        <a:stretch>
          <a:fillRect/>
        </a:stretch>
      </xdr:blipFill>
      <xdr:spPr>
        <a:xfrm>
          <a:off x="11764222" y="125731"/>
          <a:ext cx="2085528" cy="82320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3004819</xdr:colOff>
      <xdr:row>1</xdr:row>
      <xdr:rowOff>26246</xdr:rowOff>
    </xdr:from>
    <xdr:to>
      <xdr:col>9</xdr:col>
      <xdr:colOff>20348</xdr:colOff>
      <xdr:row>3</xdr:row>
      <xdr:rowOff>560</xdr:rowOff>
    </xdr:to>
    <xdr:pic>
      <xdr:nvPicPr>
        <xdr:cNvPr id="2" name="Grafik 1" descr="Logo LCC-CO2">
          <a:extLst>
            <a:ext uri="{FF2B5EF4-FFF2-40B4-BE49-F238E27FC236}">
              <a16:creationId xmlns:a16="http://schemas.microsoft.com/office/drawing/2014/main" id="{420F2912-28B3-4CF6-859E-00F074DF3650}"/>
            </a:ext>
          </a:extLst>
        </xdr:cNvPr>
        <xdr:cNvPicPr>
          <a:picLocks noChangeAspect="1"/>
        </xdr:cNvPicPr>
      </xdr:nvPicPr>
      <xdr:blipFill>
        <a:blip xmlns:r="http://schemas.openxmlformats.org/officeDocument/2006/relationships" r:embed="rId1"/>
        <a:stretch>
          <a:fillRect/>
        </a:stretch>
      </xdr:blipFill>
      <xdr:spPr>
        <a:xfrm>
          <a:off x="12910819" y="212513"/>
          <a:ext cx="2155642" cy="8209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EA2A77-EEA9-4088-830D-3286560A1F6A}" name="Tabelle2" displayName="Tabelle2" ref="C2:N442" totalsRowShown="0" headerRowDxfId="124" dataDxfId="123" headerRowCellStyle="Standard 2" dataCellStyle="Standard 2">
  <autoFilter ref="C2:N442" xr:uid="{1BEA2A77-EEA9-4088-830D-3286560A1F6A}"/>
  <sortState xmlns:xlrd2="http://schemas.microsoft.com/office/spreadsheetml/2017/richdata2" ref="C4:N442">
    <sortCondition ref="C2:C442"/>
  </sortState>
  <tableColumns count="12">
    <tableColumn id="1" xr3:uid="{2B261835-F3E0-4458-BD57-F665593D4C94}" name="Material" dataDxfId="122" dataCellStyle="Standard 2"/>
    <tableColumn id="2" xr3:uid="{C6BBFFF0-A765-4FBF-AD31-AE0CEA1FD11F}" name="Stoff/Komponent" dataDxfId="121" dataCellStyle="Standard 2"/>
    <tableColumn id="3" xr3:uid="{F46E59D2-EF36-4E0E-8351-BF5809B1166B}" name="CO2" dataDxfId="120" dataCellStyle="Standard 2"/>
    <tableColumn id="4" xr3:uid="{06B83C5B-56C8-4C29-B972-9A826F908DBA}" name="CH4" dataDxfId="119" dataCellStyle="Standard 2"/>
    <tableColumn id="5" xr3:uid="{C640C93D-731E-422C-B2A6-B9A2659D633E}" name="N2O" dataDxfId="118" dataCellStyle="Standard 2"/>
    <tableColumn id="6" xr3:uid="{2F2B60D7-4DDB-4B91-8C2E-F4CA04FF6368}" name="THG" dataDxfId="117" dataCellStyle="Standard 2"/>
    <tableColumn id="7" xr3:uid="{3F9D2824-8035-4CD2-BCB9-9B74E8FCF7B0}" name="Einheit" dataDxfId="116" dataCellStyle="Standard 2"/>
    <tableColumn id="8" xr3:uid="{D5E93379-4B44-431C-9BD0-9FFED9AB1B89}" name="Energie" dataDxfId="115" dataCellStyle="Standard 2"/>
    <tableColumn id="9" xr3:uid="{A286E02D-DF61-44DC-8568-D43237E3987A}" name="Einheit2" dataDxfId="114" dataCellStyle="Standard 2"/>
    <tableColumn id="10" xr3:uid="{2EE68D84-3298-4524-95E6-290E25AB6CF2}" name="Bezugseinheit" dataDxfId="113" dataCellStyle="Standard 2"/>
    <tableColumn id="11" xr3:uid="{C8B9AB9A-80AC-48D0-8552-1B7233B6EAB4}" name="Quelle" dataDxfId="112" dataCellStyle="Standard 2"/>
    <tableColumn id="12" xr3:uid="{4F3D9B1A-DC99-4F5C-BD0B-857C16F149D5}" name="Kommentar" dataDxfId="111" dataCellStyle="Standard 2"/>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F40308-7020-4ABD-92F6-9A19D872EB03}" name="Tabelle1" displayName="Tabelle1" ref="D2:T29" totalsRowShown="0" headerRowDxfId="110" dataDxfId="109">
  <autoFilter ref="D2:T29" xr:uid="{80F40308-7020-4ABD-92F6-9A19D872EB03}"/>
  <sortState xmlns:xlrd2="http://schemas.microsoft.com/office/spreadsheetml/2017/richdata2" ref="D4:T29">
    <sortCondition ref="D2:D29"/>
  </sortState>
  <tableColumns count="17">
    <tableColumn id="1" xr3:uid="{CFEFDE42-F311-4DF2-8800-60DB391008BE}" name="_Energieträger Mobilität" dataDxfId="108"/>
    <tableColumn id="18" xr3:uid="{C8845019-B8A4-45DB-B994-709F929F39D1}" name="_Energieträger Mobilität2" dataDxfId="107" dataCellStyle="Standard 2"/>
    <tableColumn id="2" xr3:uid="{4FF739F7-C508-4449-9DA8-7D38B776FC37}" name="Bezugseinheit" dataDxfId="106" dataCellStyle="Standard 2"/>
    <tableColumn id="3" xr3:uid="{5E6085E9-0053-4E7C-A2BA-01217497063D}" name="Heizwert" dataDxfId="105"/>
    <tableColumn id="4" xr3:uid="{24626D51-B80B-4456-846E-655A9ADF2A2E}" name="Einheit" dataDxfId="104"/>
    <tableColumn id="5" xr3:uid="{B54B2342-197A-4939-8522-C5F9FE3609AA}" name="Dichte" dataDxfId="103"/>
    <tableColumn id="6" xr3:uid="{48372B8B-29D4-4B83-AE83-AC7F0D20DB25}" name="Einheit2" dataDxfId="102"/>
    <tableColumn id="7" xr3:uid="{877B5E45-0DBE-44EC-AEA4-DD24152D73BD}" name="NOx" dataDxfId="101"/>
    <tableColumn id="8" xr3:uid="{DA648080-0EFC-43B7-876F-62591B39ADB3}" name="PM10" dataDxfId="100"/>
    <tableColumn id="9" xr3:uid="{973660F8-DCB3-44B6-B3D7-909DABBFCC14}" name="CO2" dataDxfId="99"/>
    <tableColumn id="10" xr3:uid="{A7B8E42C-016A-40A2-B884-22F0EFD51545}" name="THG_Faktor" dataDxfId="98"/>
    <tableColumn id="11" xr3:uid="{FF0D1090-5059-43E3-B55A-0DFB02C59017}" name="Einheit3" dataDxfId="97"/>
    <tableColumn id="12" xr3:uid="{C4EE05BE-98A7-40E2-AB9E-C89A7D45E365}" name="spez. Verbrauch" dataDxfId="96"/>
    <tableColumn id="13" xr3:uid="{10CBFAEA-1A8A-4F06-AEA0-7A319F99AC6A}" name="KEA (kumulierter Energieaufwand)" dataDxfId="95"/>
    <tableColumn id="14" xr3:uid="{9753B4C9-0473-4708-81F2-02BCD06B9759}" name="Einheit4" dataDxfId="94"/>
    <tableColumn id="16" xr3:uid="{A54055C2-661A-4899-A155-E4CF1D23AAC9}" name="Quelle" dataDxfId="93"/>
    <tableColumn id="17" xr3:uid="{8330F400-2473-44BB-880C-948738135CC6}" name="Kommentar" dataDxfId="92"/>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058299-138D-4725-B664-4FB9C1E7146D}" name="Tabelle4" displayName="Tabelle4" ref="D35:T74" totalsRowShown="0" headerRowDxfId="91" dataDxfId="90">
  <autoFilter ref="D35:T74" xr:uid="{DC058299-138D-4725-B664-4FB9C1E7146D}"/>
  <sortState xmlns:xlrd2="http://schemas.microsoft.com/office/spreadsheetml/2017/richdata2" ref="D36:T74">
    <sortCondition ref="D35:D74"/>
  </sortState>
  <tableColumns count="17">
    <tableColumn id="1" xr3:uid="{D42CDB58-B2FC-4F22-AAFC-1BDF4C4FA2C1}" name="_Energieträger Wärme Liegenschaften" dataDxfId="89"/>
    <tableColumn id="2" xr3:uid="{14759210-78B3-415A-8004-DB862DB4CCC7}" name="_Energieträger Wärme Liegenschaften2" dataDxfId="88"/>
    <tableColumn id="3" xr3:uid="{4FA11214-96FB-42C6-97ED-F20CBF738BAA}" name="Bezugseinheit" dataDxfId="87" dataCellStyle="Standard 2"/>
    <tableColumn id="4" xr3:uid="{86A850C7-83A6-47F8-83B2-BEAE66376CDE}" name="Heizwert" dataDxfId="86"/>
    <tableColumn id="5" xr3:uid="{8B513F44-997A-42BA-8FDA-B5034873467B}" name="Einheit" dataDxfId="85"/>
    <tableColumn id="6" xr3:uid="{D1B66606-8D34-4B6A-96A4-2F6A3C9042C5}" name="Dichte" dataDxfId="84"/>
    <tableColumn id="7" xr3:uid="{3E3974A9-7E44-4A2E-8BF4-1DF26B6A8942}" name="Einheit2" dataDxfId="83"/>
    <tableColumn id="8" xr3:uid="{F447F58D-35BE-458E-BE3E-888855F00789}" name="NOx" dataDxfId="82"/>
    <tableColumn id="9" xr3:uid="{0013C2E2-93D4-4DD6-85FE-59EC4F5A7175}" name="PM10" dataDxfId="81"/>
    <tableColumn id="10" xr3:uid="{826ABB63-26A2-4AB4-9F8A-D554C69E4DEC}" name="CO2" dataDxfId="80"/>
    <tableColumn id="11" xr3:uid="{BC353DE0-932B-4320-B2E0-3DA40D8C1002}" name="THG_Faktor" dataDxfId="79"/>
    <tableColumn id="12" xr3:uid="{975202DA-816A-4C80-B1C1-69CCE38195A5}" name="Einheit3" dataDxfId="78"/>
    <tableColumn id="13" xr3:uid="{3A33381E-82FA-4534-BEEF-7E5CAD2F9E5F}" name="spez. Verbrauch" dataDxfId="77"/>
    <tableColumn id="14" xr3:uid="{105AAA28-9C36-42ED-8190-74FA63492CEB}" name="KEA" dataDxfId="76"/>
    <tableColumn id="15" xr3:uid="{DAFEF2F4-4C2C-45E9-8C8C-1389EA0DC1B6}" name="Einheit4" dataDxfId="75"/>
    <tableColumn id="16" xr3:uid="{5E337888-1F84-4D13-B402-E7F2C5AEEAA8}" name="Quelle" dataDxfId="74"/>
    <tableColumn id="17" xr3:uid="{247617AD-9568-4C1E-9156-F860E28D24E4}" name="Kommentar" dataDxfId="73"/>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A58EF1-D004-4A07-9B4B-46C0AE3C1AB7}" name="Tabelle6" displayName="Tabelle6" ref="D80:T92" totalsRowShown="0" headerRowDxfId="72" headerRowBorderDxfId="71" tableBorderDxfId="70">
  <autoFilter ref="D80:T92" xr:uid="{B1A58EF1-D004-4A07-9B4B-46C0AE3C1AB7}"/>
  <sortState xmlns:xlrd2="http://schemas.microsoft.com/office/spreadsheetml/2017/richdata2" ref="D81:T92">
    <sortCondition ref="D80:D92"/>
  </sortState>
  <tableColumns count="17">
    <tableColumn id="1" xr3:uid="{D6D81303-E59E-477A-B7F2-F96B04D128F2}" name="_Strombezug Liegenschaften/Mobilität " dataDxfId="69" dataCellStyle="Standard 2"/>
    <tableColumn id="2" xr3:uid="{BE74657A-4F1A-4FDD-B6B3-7B6F790F0DB7}" name="_Strombezug Liegenschaften/Mobilität 2" dataDxfId="68" dataCellStyle="Standard 2"/>
    <tableColumn id="3" xr3:uid="{66AE81F4-5AE1-4028-BBD9-88648FF2A848}" name="Bezugseinheit" dataDxfId="67" dataCellStyle="Standard 2"/>
    <tableColumn id="4" xr3:uid="{C13471C7-AA4D-4CDA-AA4F-181666BA3046}" name="Heizwert" dataDxfId="66" dataCellStyle="Standard 2"/>
    <tableColumn id="5" xr3:uid="{9443F81B-FA7F-4AAF-9100-AA294B4EB02A}" name="Einheit" dataDxfId="65" dataCellStyle="Standard 2"/>
    <tableColumn id="6" xr3:uid="{EFB99147-390B-4977-95C8-E5A4E8B23DEF}" name="Dichte" dataDxfId="64" dataCellStyle="Standard 2"/>
    <tableColumn id="7" xr3:uid="{877D9F1B-6526-4F41-8FCB-F3406ACD5FC7}" name="Einheit2" dataDxfId="63" dataCellStyle="Standard 2"/>
    <tableColumn id="8" xr3:uid="{E9B523B7-5377-4E1D-961C-B4B0D75E8BB4}" name="NOx" dataDxfId="62" dataCellStyle="Standard 2"/>
    <tableColumn id="9" xr3:uid="{D719128C-A883-431D-A0ED-AD766F35E31C}" name="PM10" dataDxfId="61" dataCellStyle="Standard 2"/>
    <tableColumn id="10" xr3:uid="{4DF50241-D9BD-4ED9-991B-FC05E0637FB5}" name="CO2" dataDxfId="60" dataCellStyle="Standard 2"/>
    <tableColumn id="11" xr3:uid="{E615886E-5B15-4923-9C0E-836471155217}" name="THG_Faktor" dataDxfId="59" dataCellStyle="Standard 2"/>
    <tableColumn id="12" xr3:uid="{AA069A69-1C4D-4AEB-8FD5-1B577F9348EC}" name="Einheit3" dataDxfId="58"/>
    <tableColumn id="13" xr3:uid="{AA2F5393-D3A4-4326-B9B6-D993658DB91A}" name="spez. Verbrauch" dataDxfId="57" dataCellStyle="Standard 2"/>
    <tableColumn id="14" xr3:uid="{952810FC-2789-4549-88BF-E5DF30F3E1A9}" name="KEA" dataDxfId="56" dataCellStyle="Standard 2"/>
    <tableColumn id="15" xr3:uid="{51E91E0C-E23D-4B3D-B4A4-F5FEFDBFA3F7}" name="Einheit4" dataDxfId="55" dataCellStyle="Standard 2"/>
    <tableColumn id="16" xr3:uid="{2C2043A1-B0CD-4167-8F1E-2CAB428EEA94}" name="Quelle" dataDxfId="54"/>
    <tableColumn id="17" xr3:uid="{CA03B404-1554-40DE-B137-0238A129E1B5}" name="Kommentar" dataDxfId="53" dataCellStyle="Standard 2"/>
  </tableColumns>
  <tableStyleInfo name="TableStyleLight2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5C6E6A-A624-46FE-997F-AB1B86F78218}" name="Tabelle7" displayName="Tabelle7" ref="D105:T149" totalsRowShown="0" headerRowDxfId="52" dataDxfId="50" headerRowBorderDxfId="51" tableBorderDxfId="49" totalsRowBorderDxfId="48" dataCellStyle="Standard 2">
  <autoFilter ref="D105:T149" xr:uid="{485C6E6A-A624-46FE-997F-AB1B86F78218}"/>
  <sortState xmlns:xlrd2="http://schemas.microsoft.com/office/spreadsheetml/2017/richdata2" ref="D106:T149">
    <sortCondition ref="D105:D149"/>
  </sortState>
  <tableColumns count="17">
    <tableColumn id="1" xr3:uid="{1E1FCF4D-1650-4E47-B457-A75240A0D090}" name="Bezeichnung" dataDxfId="47"/>
    <tableColumn id="2" xr3:uid="{0D97B8CE-C135-4C32-BFD7-566F02C30346}" name="Prozess" dataDxfId="46"/>
    <tableColumn id="3" xr3:uid="{16F62015-B737-4BAB-871D-89B33B0E0070}" name="Bezugseinheit2" dataDxfId="45" dataCellStyle="Standard 2"/>
    <tableColumn id="4" xr3:uid="{E52BA359-5921-4376-9642-7C22B6253B45}" name="Heizwert" dataDxfId="44"/>
    <tableColumn id="5" xr3:uid="{7429C763-8F21-4807-B571-A60564D059CC}" name="Einheit" dataDxfId="43"/>
    <tableColumn id="6" xr3:uid="{B7F531DB-B653-4BBE-B045-95306BD5818E}" name="Dichte" dataDxfId="42"/>
    <tableColumn id="7" xr3:uid="{E90E4ADA-1C77-4639-833F-74DECDB1CD04}" name="Einheit2" dataDxfId="41"/>
    <tableColumn id="8" xr3:uid="{2C6A38C7-D85C-4E26-AE70-C4A303A8CC9E}" name="NOx" dataDxfId="40"/>
    <tableColumn id="9" xr3:uid="{F6204AC6-6931-4A0B-ACD4-CF11AE89FF2C}" name="PM10" dataDxfId="39"/>
    <tableColumn id="10" xr3:uid="{84B9B957-F714-4163-9BCC-1145CCAE72B9}" name="CO2" dataDxfId="38"/>
    <tableColumn id="11" xr3:uid="{D48EEF63-DB0E-435D-B10C-1D93A407A2E7}" name="THG_Faktor" dataDxfId="37"/>
    <tableColumn id="12" xr3:uid="{1A790DB2-4101-4C3C-89B4-6DD087C80BD8}" name="Einheit3" dataDxfId="36"/>
    <tableColumn id="13" xr3:uid="{BE78B487-0D96-4602-A2E9-D29928B43FA7}" name="spez. Verbrauch" dataDxfId="35"/>
    <tableColumn id="14" xr3:uid="{B399F43A-FC34-4A11-8C73-F32D798CEF93}" name="KEA" dataDxfId="34"/>
    <tableColumn id="15" xr3:uid="{07BC1774-EBF2-4E27-A1E8-893768C0C536}" name="Einheit4" dataDxfId="33"/>
    <tableColumn id="16" xr3:uid="{8A4D9C29-824C-4C50-BACA-D58A21E4D628}" name="Quelle" dataDxfId="32"/>
    <tableColumn id="17" xr3:uid="{CEBF1691-63CC-4228-A686-4ADCEB8DD9B5}" name="Kommentar"/>
  </tableColumns>
  <tableStyleInfo name="TableStyleLight2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664156A-8293-454C-923C-069ECC3154A0}" name="Tabelle9" displayName="Tabelle9" ref="D158:T172" totalsRowShown="0" headerRowDxfId="31" dataDxfId="30" dataCellStyle="Standard 2">
  <autoFilter ref="D158:T172" xr:uid="{E664156A-8293-454C-923C-069ECC3154A0}"/>
  <tableColumns count="17">
    <tableColumn id="1" xr3:uid="{B380F48D-4C2F-46DE-8940-03DA0C7401D0}" name="Bezeichnung" dataDxfId="29" dataCellStyle="Standard 2"/>
    <tableColumn id="2" xr3:uid="{E82ACFC0-9DA0-47B6-9EB2-03B505F105C5}" name="Prozess" dataDxfId="28" dataCellStyle="Standard 2"/>
    <tableColumn id="3" xr3:uid="{B229EA53-F69C-4BAF-9CCB-59EBE8F6CDE6}" name="Bezugseinheit" dataDxfId="27" dataCellStyle="Standard 2"/>
    <tableColumn id="4" xr3:uid="{5715290C-8279-440C-919A-3B061CA5ED36}" name="Heizwert" dataDxfId="26" dataCellStyle="Standard 2"/>
    <tableColumn id="5" xr3:uid="{ECC8DAD8-72A6-444E-9722-3FEAE025B476}" name="Einheit" dataDxfId="25" dataCellStyle="Standard 2"/>
    <tableColumn id="6" xr3:uid="{75C6844D-9567-404C-8442-92B4D4F0CD56}" name="Dichte" dataDxfId="24" dataCellStyle="Standard 2"/>
    <tableColumn id="7" xr3:uid="{8E6BF6CA-606F-47B1-B698-BE91611A97BA}" name="Einheit2" dataDxfId="23" dataCellStyle="Standard 2"/>
    <tableColumn id="8" xr3:uid="{CD9B611A-3C9A-406E-A7F5-0C721BEAA0C9}" name="NOx" dataDxfId="22" dataCellStyle="Standard 2"/>
    <tableColumn id="9" xr3:uid="{04DC3275-4313-4C6F-96CC-E84B5B2C3957}" name="PM10" dataDxfId="21" dataCellStyle="Standard 2"/>
    <tableColumn id="10" xr3:uid="{F467DC21-FD21-4307-9572-5FF5AA11D052}" name="CO2" dataDxfId="20" dataCellStyle="Standard 2"/>
    <tableColumn id="11" xr3:uid="{1F300BFC-F959-47CF-BBFC-6A767AB9BF7C}" name="THG_Faktor" dataDxfId="19" dataCellStyle="Standard 2"/>
    <tableColumn id="12" xr3:uid="{A2C03AD1-7318-43CD-AC6A-F4014A44E0EC}" name="Einheit3" dataDxfId="18" dataCellStyle="Standard 2"/>
    <tableColumn id="13" xr3:uid="{D8272EB8-EB40-4B36-B1FA-51C0FBFA83CB}" name="spez. Verbrauch" dataDxfId="17" dataCellStyle="Standard 2"/>
    <tableColumn id="14" xr3:uid="{05E80E8F-8DD0-4032-9418-E92B43C0163C}" name="KEA" dataDxfId="16" dataCellStyle="Standard 2"/>
    <tableColumn id="15" xr3:uid="{C2EB7C0B-4548-408A-881D-BEDE9405F352}" name="Einheit4" dataDxfId="15" dataCellStyle="Standard 2"/>
    <tableColumn id="16" xr3:uid="{C9066EB1-E750-4BFA-B396-C008A43A810C}" name="Quelle" dataDxfId="14" dataCellStyle="Standard 2"/>
    <tableColumn id="17" xr3:uid="{3D29B25A-EE0F-46BD-B630-CD6AB08D3E80}" name="Kommentar" dataCellStyle="Standard 2"/>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A38AA0F-09D9-4B9F-A0F9-BC4FB2E0C4FA}" name="Tabelle3" displayName="Tabelle3" ref="B2:K10" totalsRowShown="0" headerRowDxfId="13" dataDxfId="12" tableBorderDxfId="11" totalsRowBorderDxfId="10" headerRowCellStyle="Standard 2" dataCellStyle="Standard 2">
  <autoFilter ref="B2:K10" xr:uid="{5A38AA0F-09D9-4B9F-A0F9-BC4FB2E0C4FA}"/>
  <tableColumns count="10">
    <tableColumn id="1" xr3:uid="{221E3785-7AAD-4EDD-A9CC-FAAE5D8DB154}" name="Kategorie" dataDxfId="9" dataCellStyle="Standard 2"/>
    <tableColumn id="2" xr3:uid="{0D7F97C5-3AFA-4488-BF18-4DB7059741DD}" name="Beschreibung" dataDxfId="8" dataCellStyle="Standard 2"/>
    <tableColumn id="3" xr3:uid="{ACEFC51A-E2AD-4CD2-A104-FC7998E768B7}" name="Bezeichnung" dataDxfId="7" dataCellStyle="Standard 2"/>
    <tableColumn id="4" xr3:uid="{985689A2-FA7D-4912-86FB-A2500E4B52D5}" name="NOx" dataDxfId="6" dataCellStyle="Standard 2"/>
    <tableColumn id="5" xr3:uid="{AC4D239E-7DC8-4C94-BDAA-88BD01C373C1}" name="PM10" dataDxfId="5" dataCellStyle="Standard 2"/>
    <tableColumn id="6" xr3:uid="{67E55303-D1EF-48C2-99B4-59E08BBF2E20}" name="CO2" dataDxfId="4" dataCellStyle="Standard 2"/>
    <tableColumn id="7" xr3:uid="{8749D0A6-E730-49DE-854C-F4DFC3E371FE}" name="THG_Gesamt" dataDxfId="3" dataCellStyle="Standard 2"/>
    <tableColumn id="8" xr3:uid="{BAE48F77-9BED-4282-AA86-EE21A6F4544D}" name="Einheit" dataDxfId="2" dataCellStyle="Standard 2"/>
    <tableColumn id="9" xr3:uid="{E8033E36-628E-4CBC-A37A-D3E63309DCCE}" name="Bezug" dataDxfId="1" dataCellStyle="Standard 2"/>
    <tableColumn id="10" xr3:uid="{1AB7AC34-E11D-45D6-BD4B-E83F123CF7F0}" name="Quelle" dataDxfId="0" dataCellStyle="Standard 2"/>
  </tableColumns>
  <tableStyleInfo name="TableStyleLight2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de.wikipedia.org/wiki/Personenkilometer" TargetMode="External"/><Relationship Id="rId1" Type="http://schemas.openxmlformats.org/officeDocument/2006/relationships/hyperlink" Target="https://de.wikipedia.org/wiki/Tonnenkilometer"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de.wikipedia.org/wiki/Tonnenkilometer" TargetMode="External"/><Relationship Id="rId1" Type="http://schemas.openxmlformats.org/officeDocument/2006/relationships/hyperlink" Target="https://de.wikipedia.org/wiki/Personenkilometer" TargetMode="External"/><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117" Type="http://schemas.openxmlformats.org/officeDocument/2006/relationships/hyperlink" Target="https://www.umweltbundesamt.de/sites/default/files/medien/377/publikationen/endbericht_oko-apc_2016_09_27.pdf" TargetMode="External"/><Relationship Id="rId21" Type="http://schemas.openxmlformats.org/officeDocument/2006/relationships/hyperlink" Target="https://www.klimatarier.com/de/CO2_Rechner" TargetMode="External"/><Relationship Id="rId63" Type="http://schemas.openxmlformats.org/officeDocument/2006/relationships/hyperlink" Target="https://www.klimatarier.com/at/CO2_Rechner" TargetMode="External"/><Relationship Id="rId159" Type="http://schemas.openxmlformats.org/officeDocument/2006/relationships/hyperlink" Target="https://www.scope3transparent.de/unternehmen/" TargetMode="External"/><Relationship Id="rId170" Type="http://schemas.openxmlformats.org/officeDocument/2006/relationships/hyperlink" Target="https://www.scope3transparent.de/unternehmen/" TargetMode="External"/><Relationship Id="rId226" Type="http://schemas.openxmlformats.org/officeDocument/2006/relationships/hyperlink" Target="https://www.scope3transparent.de/unternehmen/" TargetMode="External"/><Relationship Id="rId268" Type="http://schemas.openxmlformats.org/officeDocument/2006/relationships/hyperlink" Target="https://www.scope3transparent.de/unternehmen/" TargetMode="External"/><Relationship Id="rId32" Type="http://schemas.openxmlformats.org/officeDocument/2006/relationships/hyperlink" Target="https://www.klimatarier.com/de/CO2_Rechner" TargetMode="External"/><Relationship Id="rId74" Type="http://schemas.openxmlformats.org/officeDocument/2006/relationships/hyperlink" Target="https://www.klimatarier.com/at/CO2_Rechner" TargetMode="External"/><Relationship Id="rId128" Type="http://schemas.openxmlformats.org/officeDocument/2006/relationships/hyperlink" Target="https://www.scope3transparent.de/unternehmen/" TargetMode="External"/><Relationship Id="rId5" Type="http://schemas.openxmlformats.org/officeDocument/2006/relationships/hyperlink" Target="https://www.fr.de/wissen/beim-kaffee-faengt-co2-ausstoss-11478061.html" TargetMode="External"/><Relationship Id="rId181" Type="http://schemas.openxmlformats.org/officeDocument/2006/relationships/hyperlink" Target="https://www.scope3transparent.de/unternehmen/" TargetMode="External"/><Relationship Id="rId237" Type="http://schemas.openxmlformats.org/officeDocument/2006/relationships/hyperlink" Target="https://www.scope3transparent.de/unternehmen/" TargetMode="External"/><Relationship Id="rId279" Type="http://schemas.openxmlformats.org/officeDocument/2006/relationships/hyperlink" Target="https://www.scope3transparent.de/unternehmen/" TargetMode="External"/><Relationship Id="rId43" Type="http://schemas.openxmlformats.org/officeDocument/2006/relationships/hyperlink" Target="https://www.klimatarier.com/at/CO2_Rechner" TargetMode="External"/><Relationship Id="rId139" Type="http://schemas.openxmlformats.org/officeDocument/2006/relationships/hyperlink" Target="https://www.scope3transparent.de/unternehmen/" TargetMode="External"/><Relationship Id="rId290" Type="http://schemas.openxmlformats.org/officeDocument/2006/relationships/printerSettings" Target="../printerSettings/printerSettings18.bin"/><Relationship Id="rId85" Type="http://schemas.openxmlformats.org/officeDocument/2006/relationships/hyperlink" Target="https://www.klimatarier.com/de/CO2_Rechner" TargetMode="External"/><Relationship Id="rId150" Type="http://schemas.openxmlformats.org/officeDocument/2006/relationships/hyperlink" Target="https://www.scope3transparent.de/unternehmen/" TargetMode="External"/><Relationship Id="rId192" Type="http://schemas.openxmlformats.org/officeDocument/2006/relationships/hyperlink" Target="https://www.scope3transparent.de/unternehmen/" TargetMode="External"/><Relationship Id="rId206" Type="http://schemas.openxmlformats.org/officeDocument/2006/relationships/hyperlink" Target="https://www.scope3transparent.de/unternehmen/" TargetMode="External"/><Relationship Id="rId248" Type="http://schemas.openxmlformats.org/officeDocument/2006/relationships/hyperlink" Target="https://www.scope3transparent.de/unternehmen/" TargetMode="External"/><Relationship Id="rId12" Type="http://schemas.openxmlformats.org/officeDocument/2006/relationships/hyperlink" Target="https://www.klimatarier.com/de/CO2_Rechner" TargetMode="External"/><Relationship Id="rId33" Type="http://schemas.openxmlformats.org/officeDocument/2006/relationships/hyperlink" Target="https://www.klimatarier.com/de/CO2_Rechner" TargetMode="External"/><Relationship Id="rId108" Type="http://schemas.openxmlformats.org/officeDocument/2006/relationships/hyperlink" Target="https://www.probas.umweltbundesamt.de/php/prozessdetails.php?id=%7b4F44E475-53C0-41BD-9F5A-0359EA513586%7d" TargetMode="External"/><Relationship Id="rId129" Type="http://schemas.openxmlformats.org/officeDocument/2006/relationships/hyperlink" Target="https://www.scope3transparent.de/unternehmen/" TargetMode="External"/><Relationship Id="rId280" Type="http://schemas.openxmlformats.org/officeDocument/2006/relationships/hyperlink" Target="https://www.scope3transparent.de/unternehmen/" TargetMode="External"/><Relationship Id="rId54" Type="http://schemas.openxmlformats.org/officeDocument/2006/relationships/hyperlink" Target="https://eatsmarter.de/lexikon/warenkunde/gewuerze/koriander" TargetMode="External"/><Relationship Id="rId75" Type="http://schemas.openxmlformats.org/officeDocument/2006/relationships/hyperlink" Target="https://www.klimatarier.com/at/CO2_Rechner" TargetMode="External"/><Relationship Id="rId96" Type="http://schemas.openxmlformats.org/officeDocument/2006/relationships/hyperlink" Target="https://www.probas.umweltbundesamt.de/php/prozessdetails.php?id=%7bE608C47E-D3ED-4B69-AD43-9D90E9A76CDA%7d" TargetMode="External"/><Relationship Id="rId140" Type="http://schemas.openxmlformats.org/officeDocument/2006/relationships/hyperlink" Target="https://www.scope3transparent.de/unternehmen/" TargetMode="External"/><Relationship Id="rId161" Type="http://schemas.openxmlformats.org/officeDocument/2006/relationships/hyperlink" Target="https://www.scope3transparent.de/unternehmen/" TargetMode="External"/><Relationship Id="rId182" Type="http://schemas.openxmlformats.org/officeDocument/2006/relationships/hyperlink" Target="https://www.scope3transparent.de/unternehmen/" TargetMode="External"/><Relationship Id="rId217" Type="http://schemas.openxmlformats.org/officeDocument/2006/relationships/hyperlink" Target="https://www.scope3transparent.de/unternehmen/" TargetMode="External"/><Relationship Id="rId6" Type="http://schemas.openxmlformats.org/officeDocument/2006/relationships/hyperlink" Target="https://de.statista.com/statistik/daten/studie/1074324/umfrage/zusammensetzung-der-co2-emissionen-bei-der-herstellung-von-e-autobatterien" TargetMode="External"/><Relationship Id="rId238" Type="http://schemas.openxmlformats.org/officeDocument/2006/relationships/hyperlink" Target="https://www.scope3transparent.de/unternehmen/" TargetMode="External"/><Relationship Id="rId259" Type="http://schemas.openxmlformats.org/officeDocument/2006/relationships/hyperlink" Target="https://www.scope3transparent.de/unternehmen/" TargetMode="External"/><Relationship Id="rId23" Type="http://schemas.openxmlformats.org/officeDocument/2006/relationships/hyperlink" Target="https://www.klimatarier.com/de/CO2_Rechner" TargetMode="External"/><Relationship Id="rId119" Type="http://schemas.openxmlformats.org/officeDocument/2006/relationships/hyperlink" Target="https://www.umweltbundesamt.de/sites/default/files/medien/377/publikationen/endbericht_oko-apc_2016_09_27.pdf" TargetMode="External"/><Relationship Id="rId270" Type="http://schemas.openxmlformats.org/officeDocument/2006/relationships/hyperlink" Target="https://www.scope3transparent.de/unternehmen/" TargetMode="External"/><Relationship Id="rId291" Type="http://schemas.openxmlformats.org/officeDocument/2006/relationships/drawing" Target="../drawings/drawing16.xml"/><Relationship Id="rId44" Type="http://schemas.openxmlformats.org/officeDocument/2006/relationships/hyperlink" Target="https://www.klimatarier.com/at/CO2_Rechner" TargetMode="External"/><Relationship Id="rId65" Type="http://schemas.openxmlformats.org/officeDocument/2006/relationships/hyperlink" Target="https://www.klimatarier.com/at/CO2_Rechner" TargetMode="External"/><Relationship Id="rId86" Type="http://schemas.openxmlformats.org/officeDocument/2006/relationships/hyperlink" Target="https://www.klimatarier.com/de/CO2_Rechner" TargetMode="External"/><Relationship Id="rId130" Type="http://schemas.openxmlformats.org/officeDocument/2006/relationships/hyperlink" Target="https://www.scope3transparent.de/unternehmen/" TargetMode="External"/><Relationship Id="rId151" Type="http://schemas.openxmlformats.org/officeDocument/2006/relationships/hyperlink" Target="https://www.scope3transparent.de/unternehmen/" TargetMode="External"/><Relationship Id="rId172" Type="http://schemas.openxmlformats.org/officeDocument/2006/relationships/hyperlink" Target="https://www.scope3transparent.de/unternehmen/" TargetMode="External"/><Relationship Id="rId193" Type="http://schemas.openxmlformats.org/officeDocument/2006/relationships/hyperlink" Target="https://www.scope3transparent.de/unternehmen/" TargetMode="External"/><Relationship Id="rId207" Type="http://schemas.openxmlformats.org/officeDocument/2006/relationships/hyperlink" Target="https://www.scope3transparent.de/unternehmen/" TargetMode="External"/><Relationship Id="rId228" Type="http://schemas.openxmlformats.org/officeDocument/2006/relationships/hyperlink" Target="https://www.scope3transparent.de/unternehmen/" TargetMode="External"/><Relationship Id="rId249" Type="http://schemas.openxmlformats.org/officeDocument/2006/relationships/hyperlink" Target="https://www.scope3transparent.de/unternehmen/" TargetMode="External"/><Relationship Id="rId13" Type="http://schemas.openxmlformats.org/officeDocument/2006/relationships/hyperlink" Target="https://www.klimatarier.com/de/CO2_Rechner" TargetMode="External"/><Relationship Id="rId109" Type="http://schemas.openxmlformats.org/officeDocument/2006/relationships/hyperlink" Target="https://www.probas.umweltbundesamt.de/php/prozessdetails.php?id=%7b5940E429-2731-4FA6-81D1-9D745EDDC8B3%7d" TargetMode="External"/><Relationship Id="rId260" Type="http://schemas.openxmlformats.org/officeDocument/2006/relationships/hyperlink" Target="https://www.scope3transparent.de/unternehmen/" TargetMode="External"/><Relationship Id="rId281" Type="http://schemas.openxmlformats.org/officeDocument/2006/relationships/hyperlink" Target="https://www.scope3transparent.de/unternehmen/" TargetMode="External"/><Relationship Id="rId34" Type="http://schemas.openxmlformats.org/officeDocument/2006/relationships/hyperlink" Target="https://www.klimatarier.com/de/CO2_Rechner" TargetMode="External"/><Relationship Id="rId55" Type="http://schemas.openxmlformats.org/officeDocument/2006/relationships/hyperlink" Target="https://eatsmarter.de/lexikon/warenkunde/obst/mandarinen" TargetMode="External"/><Relationship Id="rId76" Type="http://schemas.openxmlformats.org/officeDocument/2006/relationships/hyperlink" Target="https://www.klimatarier.com/at/CO2_Rechner" TargetMode="External"/><Relationship Id="rId97" Type="http://schemas.openxmlformats.org/officeDocument/2006/relationships/hyperlink" Target="https://www.probas.umweltbundesamt.de/php/prozessdetails.php?id=%7b01EEF595-E7E8-48C7-8553-67365C9265F0%7d" TargetMode="External"/><Relationship Id="rId120" Type="http://schemas.openxmlformats.org/officeDocument/2006/relationships/hyperlink" Target="https://www.umweltbundesamt.de/sites/default/files/medien/377/publikationen/endbericht_oko-apc_2016_09_27.pdf" TargetMode="External"/><Relationship Id="rId141" Type="http://schemas.openxmlformats.org/officeDocument/2006/relationships/hyperlink" Target="https://www.scope3transparent.de/unternehmen/" TargetMode="External"/><Relationship Id="rId7" Type="http://schemas.openxmlformats.org/officeDocument/2006/relationships/hyperlink" Target="https://www.papiernetz.de/informationen/nachhaltigkeitsrechner/" TargetMode="External"/><Relationship Id="rId162" Type="http://schemas.openxmlformats.org/officeDocument/2006/relationships/hyperlink" Target="https://www.scope3transparent.de/unternehmen/" TargetMode="External"/><Relationship Id="rId183" Type="http://schemas.openxmlformats.org/officeDocument/2006/relationships/hyperlink" Target="https://www.scope3transparent.de/unternehmen/" TargetMode="External"/><Relationship Id="rId218" Type="http://schemas.openxmlformats.org/officeDocument/2006/relationships/hyperlink" Target="https://www.scope3transparent.de/unternehmen/" TargetMode="External"/><Relationship Id="rId239" Type="http://schemas.openxmlformats.org/officeDocument/2006/relationships/hyperlink" Target="https://www.scope3transparent.de/unternehmen/" TargetMode="External"/><Relationship Id="rId250" Type="http://schemas.openxmlformats.org/officeDocument/2006/relationships/hyperlink" Target="https://www.scope3transparent.de/unternehmen/" TargetMode="External"/><Relationship Id="rId271" Type="http://schemas.openxmlformats.org/officeDocument/2006/relationships/hyperlink" Target="https://www.scope3transparent.de/unternehmen/" TargetMode="External"/><Relationship Id="rId292" Type="http://schemas.openxmlformats.org/officeDocument/2006/relationships/vmlDrawing" Target="../drawings/vmlDrawing14.vml"/><Relationship Id="rId24" Type="http://schemas.openxmlformats.org/officeDocument/2006/relationships/hyperlink" Target="https://www.klimatarier.com/de/CO2_Rechner" TargetMode="External"/><Relationship Id="rId45" Type="http://schemas.openxmlformats.org/officeDocument/2006/relationships/hyperlink" Target="https://www.klimatarier.com/at/CO2_Rechner" TargetMode="External"/><Relationship Id="rId66" Type="http://schemas.openxmlformats.org/officeDocument/2006/relationships/hyperlink" Target="https://www.klimatarier.com/de/CO2_Rechner" TargetMode="External"/><Relationship Id="rId87" Type="http://schemas.openxmlformats.org/officeDocument/2006/relationships/hyperlink" Target="https://www.klimatarier.com/de/CO2_Rechner" TargetMode="External"/><Relationship Id="rId110" Type="http://schemas.openxmlformats.org/officeDocument/2006/relationships/hyperlink" Target="https://www.probas.umweltbundesamt.de/php/prozessdetails.php?id=%7b7D803D25-E3D0-406C-8A4E-C883F6FEB851%7d" TargetMode="External"/><Relationship Id="rId131" Type="http://schemas.openxmlformats.org/officeDocument/2006/relationships/hyperlink" Target="https://www.scope3transparent.de/unternehmen/" TargetMode="External"/><Relationship Id="rId152" Type="http://schemas.openxmlformats.org/officeDocument/2006/relationships/hyperlink" Target="https://www.scope3transparent.de/unternehmen/" TargetMode="External"/><Relationship Id="rId173" Type="http://schemas.openxmlformats.org/officeDocument/2006/relationships/hyperlink" Target="https://www.scope3transparent.de/unternehmen/" TargetMode="External"/><Relationship Id="rId194" Type="http://schemas.openxmlformats.org/officeDocument/2006/relationships/hyperlink" Target="https://www.scope3transparent.de/unternehmen/" TargetMode="External"/><Relationship Id="rId208" Type="http://schemas.openxmlformats.org/officeDocument/2006/relationships/hyperlink" Target="https://www.scope3transparent.de/unternehmen/" TargetMode="External"/><Relationship Id="rId229" Type="http://schemas.openxmlformats.org/officeDocument/2006/relationships/hyperlink" Target="https://www.scope3transparent.de/unternehmen/" TargetMode="External"/><Relationship Id="rId240" Type="http://schemas.openxmlformats.org/officeDocument/2006/relationships/hyperlink" Target="https://www.scope3transparent.de/unternehmen/" TargetMode="External"/><Relationship Id="rId261" Type="http://schemas.openxmlformats.org/officeDocument/2006/relationships/hyperlink" Target="https://www.scope3transparent.de/unternehmen/" TargetMode="External"/><Relationship Id="rId14" Type="http://schemas.openxmlformats.org/officeDocument/2006/relationships/hyperlink" Target="https://www.klimatarier.com/de/CO2_Rechner" TargetMode="External"/><Relationship Id="rId35" Type="http://schemas.openxmlformats.org/officeDocument/2006/relationships/hyperlink" Target="https://www.klimatarier.com/de/CO2_Rechner" TargetMode="External"/><Relationship Id="rId56" Type="http://schemas.openxmlformats.org/officeDocument/2006/relationships/hyperlink" Target="https://eatsmarter.de/lexikon/warenkunde/kohl/sauerkraut" TargetMode="External"/><Relationship Id="rId77" Type="http://schemas.openxmlformats.org/officeDocument/2006/relationships/hyperlink" Target="https://www.klimatarier.com/de/CO2_Rechner" TargetMode="External"/><Relationship Id="rId100" Type="http://schemas.openxmlformats.org/officeDocument/2006/relationships/hyperlink" Target="https://www.probas.umweltbundesamt.de/php/prozessdetails.php?id=%7bFAAD1AF4-C087-4760-A5F6-1D80BC6C2B55%7d" TargetMode="External"/><Relationship Id="rId282" Type="http://schemas.openxmlformats.org/officeDocument/2006/relationships/hyperlink" Target="https://www.scope3transparent.de/unternehmen/" TargetMode="External"/><Relationship Id="rId8" Type="http://schemas.openxmlformats.org/officeDocument/2006/relationships/hyperlink" Target="https://www.papiernetz.de/informationen/nachhaltigkeitsrechner/" TargetMode="External"/><Relationship Id="rId98" Type="http://schemas.openxmlformats.org/officeDocument/2006/relationships/hyperlink" Target="https://www.probas.umweltbundesamt.de/php/prozessdetails.php?id=%7b330A9C89-A696-44BB-AB6F-370FFC9FF2BA%7d" TargetMode="External"/><Relationship Id="rId121" Type="http://schemas.openxmlformats.org/officeDocument/2006/relationships/hyperlink" Target="https://www.umweltbundesamt.de/sites/default/files/medien/377/publikationen/endbericht_oko-apc_2016_09_27.pdf" TargetMode="External"/><Relationship Id="rId142" Type="http://schemas.openxmlformats.org/officeDocument/2006/relationships/hyperlink" Target="https://www.scope3transparent.de/unternehmen/" TargetMode="External"/><Relationship Id="rId163" Type="http://schemas.openxmlformats.org/officeDocument/2006/relationships/hyperlink" Target="https://www.scope3transparent.de/unternehmen/" TargetMode="External"/><Relationship Id="rId184" Type="http://schemas.openxmlformats.org/officeDocument/2006/relationships/hyperlink" Target="https://www.scope3transparent.de/unternehmen/" TargetMode="External"/><Relationship Id="rId219" Type="http://schemas.openxmlformats.org/officeDocument/2006/relationships/hyperlink" Target="https://www.scope3transparent.de/unternehmen/" TargetMode="External"/><Relationship Id="rId230" Type="http://schemas.openxmlformats.org/officeDocument/2006/relationships/hyperlink" Target="https://www.scope3transparent.de/unternehmen/" TargetMode="External"/><Relationship Id="rId251" Type="http://schemas.openxmlformats.org/officeDocument/2006/relationships/hyperlink" Target="https://www.scope3transparent.de/unternehmen/" TargetMode="External"/><Relationship Id="rId25" Type="http://schemas.openxmlformats.org/officeDocument/2006/relationships/hyperlink" Target="https://www.klimatarier.com/de/CO2_Rechner" TargetMode="External"/><Relationship Id="rId46" Type="http://schemas.openxmlformats.org/officeDocument/2006/relationships/hyperlink" Target="https://www.klimatarier.com/at/CO2_Rechner" TargetMode="External"/><Relationship Id="rId67" Type="http://schemas.openxmlformats.org/officeDocument/2006/relationships/hyperlink" Target="https://www.klimatarier.com/at/CO2_Rechner" TargetMode="External"/><Relationship Id="rId272" Type="http://schemas.openxmlformats.org/officeDocument/2006/relationships/hyperlink" Target="https://www.scope3transparent.de/unternehmen/" TargetMode="External"/><Relationship Id="rId293" Type="http://schemas.openxmlformats.org/officeDocument/2006/relationships/table" Target="../tables/table1.xml"/><Relationship Id="rId88" Type="http://schemas.openxmlformats.org/officeDocument/2006/relationships/hyperlink" Target="https://www.klimatarier.com/de/CO2_Rechner" TargetMode="External"/><Relationship Id="rId111" Type="http://schemas.openxmlformats.org/officeDocument/2006/relationships/hyperlink" Target="https://www.probas.umweltbundesamt.de/php/prozessdetails.php?id=%7b25EB12F5-7A9B-425D-AC38-AAFE68C10831%7d" TargetMode="External"/><Relationship Id="rId132" Type="http://schemas.openxmlformats.org/officeDocument/2006/relationships/hyperlink" Target="https://www.scope3transparent.de/unternehmen/" TargetMode="External"/><Relationship Id="rId153" Type="http://schemas.openxmlformats.org/officeDocument/2006/relationships/hyperlink" Target="https://www.scope3transparent.de/unternehmen/" TargetMode="External"/><Relationship Id="rId174" Type="http://schemas.openxmlformats.org/officeDocument/2006/relationships/hyperlink" Target="https://www.scope3transparent.de/unternehmen/" TargetMode="External"/><Relationship Id="rId195" Type="http://schemas.openxmlformats.org/officeDocument/2006/relationships/hyperlink" Target="https://www.scope3transparent.de/unternehmen/" TargetMode="External"/><Relationship Id="rId209" Type="http://schemas.openxmlformats.org/officeDocument/2006/relationships/hyperlink" Target="https://www.scope3transparent.de/unternehmen/" TargetMode="External"/><Relationship Id="rId220" Type="http://schemas.openxmlformats.org/officeDocument/2006/relationships/hyperlink" Target="https://www.scope3transparent.de/unternehmen/" TargetMode="External"/><Relationship Id="rId241" Type="http://schemas.openxmlformats.org/officeDocument/2006/relationships/hyperlink" Target="https://www.scope3transparent.de/unternehmen/" TargetMode="External"/><Relationship Id="rId15" Type="http://schemas.openxmlformats.org/officeDocument/2006/relationships/hyperlink" Target="https://www.klimatarier.com/de/CO2_Rechner" TargetMode="External"/><Relationship Id="rId36" Type="http://schemas.openxmlformats.org/officeDocument/2006/relationships/hyperlink" Target="https://www.klimatarier.com/de/CO2_Rechner" TargetMode="External"/><Relationship Id="rId57" Type="http://schemas.openxmlformats.org/officeDocument/2006/relationships/hyperlink" Target="https://www.klimatarier.com/at/CO2_Rechner" TargetMode="External"/><Relationship Id="rId262" Type="http://schemas.openxmlformats.org/officeDocument/2006/relationships/hyperlink" Target="https://www.scope3transparent.de/unternehmen/" TargetMode="External"/><Relationship Id="rId283" Type="http://schemas.openxmlformats.org/officeDocument/2006/relationships/hyperlink" Target="https://www.scope3transparent.de/unternehmen/" TargetMode="External"/><Relationship Id="rId78" Type="http://schemas.openxmlformats.org/officeDocument/2006/relationships/hyperlink" Target="https://www.klimatarier.com/de/CO2_Rechner" TargetMode="External"/><Relationship Id="rId99" Type="http://schemas.openxmlformats.org/officeDocument/2006/relationships/hyperlink" Target="https://www.probas.umweltbundesamt.de/php/prozessdetails.php?id=%7bE92D71D6-3D2F-458A-804F-3C13D77C779D%7d" TargetMode="External"/><Relationship Id="rId101" Type="http://schemas.openxmlformats.org/officeDocument/2006/relationships/hyperlink" Target="https://www.probas.umweltbundesamt.de/php/prozessdetails.php?id=%7b17EE0594-3CF6-4901-8690-6019418504BE%7d" TargetMode="External"/><Relationship Id="rId122" Type="http://schemas.openxmlformats.org/officeDocument/2006/relationships/hyperlink" Target="https://www.umweltbundesamt.de/sites/default/files/medien/377/publikationen/endbericht_oko-apc_2016_09_27.pdf" TargetMode="External"/><Relationship Id="rId143" Type="http://schemas.openxmlformats.org/officeDocument/2006/relationships/hyperlink" Target="https://www.scope3transparent.de/unternehmen/" TargetMode="External"/><Relationship Id="rId164" Type="http://schemas.openxmlformats.org/officeDocument/2006/relationships/hyperlink" Target="https://www.scope3transparent.de/unternehmen/" TargetMode="External"/><Relationship Id="rId185" Type="http://schemas.openxmlformats.org/officeDocument/2006/relationships/hyperlink" Target="https://www.scope3transparent.de/unternehmen/" TargetMode="External"/><Relationship Id="rId9" Type="http://schemas.openxmlformats.org/officeDocument/2006/relationships/hyperlink" Target="https://www.klimatarier.com/de/CO2_Rechner" TargetMode="External"/><Relationship Id="rId210" Type="http://schemas.openxmlformats.org/officeDocument/2006/relationships/hyperlink" Target="https://www.scope3transparent.de/unternehmen/" TargetMode="External"/><Relationship Id="rId26" Type="http://schemas.openxmlformats.org/officeDocument/2006/relationships/hyperlink" Target="https://www.klimatarier.com/de/CO2_Rechner" TargetMode="External"/><Relationship Id="rId231" Type="http://schemas.openxmlformats.org/officeDocument/2006/relationships/hyperlink" Target="https://www.scope3transparent.de/unternehmen/" TargetMode="External"/><Relationship Id="rId252" Type="http://schemas.openxmlformats.org/officeDocument/2006/relationships/hyperlink" Target="https://www.scope3transparent.de/unternehmen/" TargetMode="External"/><Relationship Id="rId273" Type="http://schemas.openxmlformats.org/officeDocument/2006/relationships/hyperlink" Target="https://www.scope3transparent.de/unternehmen/" TargetMode="External"/><Relationship Id="rId294" Type="http://schemas.openxmlformats.org/officeDocument/2006/relationships/comments" Target="../comments14.xml"/><Relationship Id="rId47" Type="http://schemas.openxmlformats.org/officeDocument/2006/relationships/hyperlink" Target="https://www.klimatarier.com/at/CO2_Rechner" TargetMode="External"/><Relationship Id="rId68" Type="http://schemas.openxmlformats.org/officeDocument/2006/relationships/hyperlink" Target="https://www.klimatarier.com/at/CO2_Rechner" TargetMode="External"/><Relationship Id="rId89" Type="http://schemas.openxmlformats.org/officeDocument/2006/relationships/hyperlink" Target="https://www.probas.umweltbundesamt.de/php/prozessdetails.php?id=%7bE22B8A45-BD70-4BF3-B114-96A0A798FB8C%7d" TargetMode="External"/><Relationship Id="rId112" Type="http://schemas.openxmlformats.org/officeDocument/2006/relationships/hyperlink" Target="https://www.umweltbundesamt.de/sites/default/files/medien/377/publikationen/endbericht_oko-apc_2016_09_27.pdf" TargetMode="External"/><Relationship Id="rId133" Type="http://schemas.openxmlformats.org/officeDocument/2006/relationships/hyperlink" Target="https://www.scope3transparent.de/unternehmen/" TargetMode="External"/><Relationship Id="rId154" Type="http://schemas.openxmlformats.org/officeDocument/2006/relationships/hyperlink" Target="https://www.scope3transparent.de/unternehmen/" TargetMode="External"/><Relationship Id="rId175" Type="http://schemas.openxmlformats.org/officeDocument/2006/relationships/hyperlink" Target="https://www.scope3transparent.de/unternehmen/" TargetMode="External"/><Relationship Id="rId196" Type="http://schemas.openxmlformats.org/officeDocument/2006/relationships/hyperlink" Target="https://www.scope3transparent.de/unternehmen/" TargetMode="External"/><Relationship Id="rId200" Type="http://schemas.openxmlformats.org/officeDocument/2006/relationships/hyperlink" Target="https://www.scope3transparent.de/unternehmen/" TargetMode="External"/><Relationship Id="rId16" Type="http://schemas.openxmlformats.org/officeDocument/2006/relationships/hyperlink" Target="https://www.klimatarier.com/de/CO2_Rechner" TargetMode="External"/><Relationship Id="rId221" Type="http://schemas.openxmlformats.org/officeDocument/2006/relationships/hyperlink" Target="https://www.scope3transparent.de/unternehmen/" TargetMode="External"/><Relationship Id="rId242" Type="http://schemas.openxmlformats.org/officeDocument/2006/relationships/hyperlink" Target="https://www.scope3transparent.de/unternehmen/" TargetMode="External"/><Relationship Id="rId263" Type="http://schemas.openxmlformats.org/officeDocument/2006/relationships/hyperlink" Target="https://www.scope3transparent.de/unternehmen/" TargetMode="External"/><Relationship Id="rId284" Type="http://schemas.openxmlformats.org/officeDocument/2006/relationships/hyperlink" Target="https://www.scope3transparent.de/unternehmen/" TargetMode="External"/><Relationship Id="rId37" Type="http://schemas.openxmlformats.org/officeDocument/2006/relationships/hyperlink" Target="https://www.klimatarier.com/de/CO2_Rechner" TargetMode="External"/><Relationship Id="rId58" Type="http://schemas.openxmlformats.org/officeDocument/2006/relationships/hyperlink" Target="https://www.klimatarier.com/de/CO2_Rechner" TargetMode="External"/><Relationship Id="rId79" Type="http://schemas.openxmlformats.org/officeDocument/2006/relationships/hyperlink" Target="https://www.klimatarier.com/de/CO2_Rechner" TargetMode="External"/><Relationship Id="rId102" Type="http://schemas.openxmlformats.org/officeDocument/2006/relationships/hyperlink" Target="https://www.probas.umweltbundesamt.de/php/prozessdetails.php?id=%7b48CFC911-59BE-4B9A-B1B0-41FE2AA152A8%7d" TargetMode="External"/><Relationship Id="rId123" Type="http://schemas.openxmlformats.org/officeDocument/2006/relationships/hyperlink" Target="https://www.umweltbundesamt.de/sites/default/files/medien/377/publikationen/endbericht_oko-apc_2016_09_27.pdf" TargetMode="External"/><Relationship Id="rId144" Type="http://schemas.openxmlformats.org/officeDocument/2006/relationships/hyperlink" Target="https://www.scope3transparent.de/unternehmen/" TargetMode="External"/><Relationship Id="rId90" Type="http://schemas.openxmlformats.org/officeDocument/2006/relationships/hyperlink" Target="https://www.probas.umweltbundesamt.de/php/prozessdetails.php?id=%7b0A54E43A-373D-43DB-973B-7915BAFA8207%7d" TargetMode="External"/><Relationship Id="rId165" Type="http://schemas.openxmlformats.org/officeDocument/2006/relationships/hyperlink" Target="https://www.scope3transparent.de/unternehmen/" TargetMode="External"/><Relationship Id="rId186" Type="http://schemas.openxmlformats.org/officeDocument/2006/relationships/hyperlink" Target="https://www.scope3transparent.de/unternehmen/" TargetMode="External"/><Relationship Id="rId211" Type="http://schemas.openxmlformats.org/officeDocument/2006/relationships/hyperlink" Target="https://www.scope3transparent.de/unternehmen/" TargetMode="External"/><Relationship Id="rId232" Type="http://schemas.openxmlformats.org/officeDocument/2006/relationships/hyperlink" Target="https://www.scope3transparent.de/unternehmen/" TargetMode="External"/><Relationship Id="rId253" Type="http://schemas.openxmlformats.org/officeDocument/2006/relationships/hyperlink" Target="https://www.scope3transparent.de/unternehmen/" TargetMode="External"/><Relationship Id="rId274" Type="http://schemas.openxmlformats.org/officeDocument/2006/relationships/hyperlink" Target="https://www.scope3transparent.de/unternehmen/" TargetMode="External"/><Relationship Id="rId27" Type="http://schemas.openxmlformats.org/officeDocument/2006/relationships/hyperlink" Target="https://www.klimatarier.com/de/CO2_Rechner" TargetMode="External"/><Relationship Id="rId48" Type="http://schemas.openxmlformats.org/officeDocument/2006/relationships/hyperlink" Target="https://www.klimatarier.com/at/CO2_Rechner" TargetMode="External"/><Relationship Id="rId69" Type="http://schemas.openxmlformats.org/officeDocument/2006/relationships/hyperlink" Target="https://www.klimatarier.com/at/CO2_Rechner" TargetMode="External"/><Relationship Id="rId113" Type="http://schemas.openxmlformats.org/officeDocument/2006/relationships/hyperlink" Target="https://www.umweltbundesamt.de/sites/default/files/medien/377/publikationen/endbericht_oko-apc_2016_09_27.pdf" TargetMode="External"/><Relationship Id="rId134" Type="http://schemas.openxmlformats.org/officeDocument/2006/relationships/hyperlink" Target="https://www.scope3transparent.de/unternehmen/" TargetMode="External"/><Relationship Id="rId80" Type="http://schemas.openxmlformats.org/officeDocument/2006/relationships/hyperlink" Target="https://www.klimatarier.com/de/CO2_Rechner" TargetMode="External"/><Relationship Id="rId155" Type="http://schemas.openxmlformats.org/officeDocument/2006/relationships/hyperlink" Target="https://www.scope3transparent.de/unternehmen/" TargetMode="External"/><Relationship Id="rId176" Type="http://schemas.openxmlformats.org/officeDocument/2006/relationships/hyperlink" Target="https://www.scope3transparent.de/unternehmen/" TargetMode="External"/><Relationship Id="rId197" Type="http://schemas.openxmlformats.org/officeDocument/2006/relationships/hyperlink" Target="https://www.scope3transparent.de/unternehmen/" TargetMode="External"/><Relationship Id="rId201" Type="http://schemas.openxmlformats.org/officeDocument/2006/relationships/hyperlink" Target="https://www.scope3transparent.de/unternehmen/" TargetMode="External"/><Relationship Id="rId222" Type="http://schemas.openxmlformats.org/officeDocument/2006/relationships/hyperlink" Target="https://www.scope3transparent.de/unternehmen/" TargetMode="External"/><Relationship Id="rId243" Type="http://schemas.openxmlformats.org/officeDocument/2006/relationships/hyperlink" Target="https://www.scope3transparent.de/unternehmen/" TargetMode="External"/><Relationship Id="rId264" Type="http://schemas.openxmlformats.org/officeDocument/2006/relationships/hyperlink" Target="https://www.scope3transparent.de/unternehmen/" TargetMode="External"/><Relationship Id="rId285" Type="http://schemas.openxmlformats.org/officeDocument/2006/relationships/hyperlink" Target="https://www.scope3transparent.de/unternehmen/" TargetMode="External"/><Relationship Id="rId17" Type="http://schemas.openxmlformats.org/officeDocument/2006/relationships/hyperlink" Target="https://www.klimatarier.com/de/CO2_Rechner" TargetMode="External"/><Relationship Id="rId38" Type="http://schemas.openxmlformats.org/officeDocument/2006/relationships/hyperlink" Target="https://www.klimatarier.com/de/CO2_Rechner" TargetMode="External"/><Relationship Id="rId59" Type="http://schemas.openxmlformats.org/officeDocument/2006/relationships/hyperlink" Target="https://www.klimatarier.com/de/CO2_Rechner" TargetMode="External"/><Relationship Id="rId103" Type="http://schemas.openxmlformats.org/officeDocument/2006/relationships/hyperlink" Target="https://www.probas.umweltbundesamt.de/php/prozessdetails.php?id=%7b109B44FC-3E16-4528-82FF-641E040D47DB%7d" TargetMode="External"/><Relationship Id="rId124" Type="http://schemas.openxmlformats.org/officeDocument/2006/relationships/hyperlink" Target="https://www.umweltbundesamt.de/sites/default/files/medien/377/publikationen/endbericht_oko-apc_2016_09_27.pdf" TargetMode="External"/><Relationship Id="rId70" Type="http://schemas.openxmlformats.org/officeDocument/2006/relationships/hyperlink" Target="https://www.klimatarier.com/at/CO2_Rechner" TargetMode="External"/><Relationship Id="rId91" Type="http://schemas.openxmlformats.org/officeDocument/2006/relationships/hyperlink" Target="https://www.probas.umweltbundesamt.de/php/prozessdetails.php?id=%7bD9B2F188-A457-45C1-A863-65BA7800981D%7d" TargetMode="External"/><Relationship Id="rId145" Type="http://schemas.openxmlformats.org/officeDocument/2006/relationships/hyperlink" Target="https://www.scope3transparent.de/unternehmen/" TargetMode="External"/><Relationship Id="rId166" Type="http://schemas.openxmlformats.org/officeDocument/2006/relationships/hyperlink" Target="https://www.scope3transparent.de/unternehmen/" TargetMode="External"/><Relationship Id="rId187" Type="http://schemas.openxmlformats.org/officeDocument/2006/relationships/hyperlink" Target="https://www.scope3transparent.de/unternehmen/" TargetMode="External"/><Relationship Id="rId1" Type="http://schemas.openxmlformats.org/officeDocument/2006/relationships/hyperlink" Target="https://www.winnipeg.ca/finance/findata/matmgt/documents/2012/682-2012/682-2012_Appendix_H-WSTP_South_End_Plant_Process_Selection_Report/Appendix%207.pdf" TargetMode="External"/><Relationship Id="rId212" Type="http://schemas.openxmlformats.org/officeDocument/2006/relationships/hyperlink" Target="https://www.scope3transparent.de/unternehmen/" TargetMode="External"/><Relationship Id="rId233" Type="http://schemas.openxmlformats.org/officeDocument/2006/relationships/hyperlink" Target="https://www.scope3transparent.de/unternehmen/" TargetMode="External"/><Relationship Id="rId254" Type="http://schemas.openxmlformats.org/officeDocument/2006/relationships/hyperlink" Target="https://www.scope3transparent.de/unternehmen/" TargetMode="External"/><Relationship Id="rId28" Type="http://schemas.openxmlformats.org/officeDocument/2006/relationships/hyperlink" Target="https://www.klimatarier.com/de/CO2_Rechner" TargetMode="External"/><Relationship Id="rId49" Type="http://schemas.openxmlformats.org/officeDocument/2006/relationships/hyperlink" Target="https://www.klimatarier.com/at/CO2_Rechner" TargetMode="External"/><Relationship Id="rId114" Type="http://schemas.openxmlformats.org/officeDocument/2006/relationships/hyperlink" Target="https://www.umweltbundesamt.de/sites/default/files/medien/377/publikationen/endbericht_oko-apc_2016_09_27.pdf" TargetMode="External"/><Relationship Id="rId275" Type="http://schemas.openxmlformats.org/officeDocument/2006/relationships/hyperlink" Target="https://www.scope3transparent.de/unternehmen/" TargetMode="External"/><Relationship Id="rId60" Type="http://schemas.openxmlformats.org/officeDocument/2006/relationships/hyperlink" Target="https://www.klimatarier.com/de/CO2_Rechner" TargetMode="External"/><Relationship Id="rId81" Type="http://schemas.openxmlformats.org/officeDocument/2006/relationships/hyperlink" Target="https://www.klimatarier.com/de/CO2_Rechner" TargetMode="External"/><Relationship Id="rId135" Type="http://schemas.openxmlformats.org/officeDocument/2006/relationships/hyperlink" Target="https://www.scope3transparent.de/unternehmen/" TargetMode="External"/><Relationship Id="rId156" Type="http://schemas.openxmlformats.org/officeDocument/2006/relationships/hyperlink" Target="https://www.scope3transparent.de/unternehmen/" TargetMode="External"/><Relationship Id="rId177" Type="http://schemas.openxmlformats.org/officeDocument/2006/relationships/hyperlink" Target="https://www.scope3transparent.de/unternehmen/" TargetMode="External"/><Relationship Id="rId198" Type="http://schemas.openxmlformats.org/officeDocument/2006/relationships/hyperlink" Target="https://www.scope3transparent.de/unternehmen/" TargetMode="External"/><Relationship Id="rId202" Type="http://schemas.openxmlformats.org/officeDocument/2006/relationships/hyperlink" Target="https://www.scope3transparent.de/unternehmen/" TargetMode="External"/><Relationship Id="rId223" Type="http://schemas.openxmlformats.org/officeDocument/2006/relationships/hyperlink" Target="https://www.scope3transparent.de/unternehmen/" TargetMode="External"/><Relationship Id="rId244" Type="http://schemas.openxmlformats.org/officeDocument/2006/relationships/hyperlink" Target="https://www.scope3transparent.de/unternehmen/" TargetMode="External"/><Relationship Id="rId18" Type="http://schemas.openxmlformats.org/officeDocument/2006/relationships/hyperlink" Target="https://www.klimatarier.com/de/CO2_Rechner" TargetMode="External"/><Relationship Id="rId39" Type="http://schemas.openxmlformats.org/officeDocument/2006/relationships/hyperlink" Target="https://www.klimatarier.com/de/CO2_Rechner" TargetMode="External"/><Relationship Id="rId265" Type="http://schemas.openxmlformats.org/officeDocument/2006/relationships/hyperlink" Target="https://www.scope3transparent.de/unternehmen/" TargetMode="External"/><Relationship Id="rId286" Type="http://schemas.openxmlformats.org/officeDocument/2006/relationships/hyperlink" Target="https://www.scope3transparent.de/unternehmen/" TargetMode="External"/><Relationship Id="rId50" Type="http://schemas.openxmlformats.org/officeDocument/2006/relationships/hyperlink" Target="https://www.klimatarier.com/at/CO2_Rechner" TargetMode="External"/><Relationship Id="rId104" Type="http://schemas.openxmlformats.org/officeDocument/2006/relationships/hyperlink" Target="https://www.probas.umweltbundesamt.de/php/prozessdetails.php?id=%7bEDEF8A1D-535D-46AE-BEC5-2C900DC09C2C%7d" TargetMode="External"/><Relationship Id="rId125" Type="http://schemas.openxmlformats.org/officeDocument/2006/relationships/hyperlink" Target="https://www.umweltbundesamt.de/sites/default/files/medien/377/publikationen/endbericht_oko-apc_2016_09_27.pdf" TargetMode="External"/><Relationship Id="rId146" Type="http://schemas.openxmlformats.org/officeDocument/2006/relationships/hyperlink" Target="https://www.scope3transparent.de/unternehmen/" TargetMode="External"/><Relationship Id="rId167" Type="http://schemas.openxmlformats.org/officeDocument/2006/relationships/hyperlink" Target="https://www.scope3transparent.de/unternehmen/" TargetMode="External"/><Relationship Id="rId188" Type="http://schemas.openxmlformats.org/officeDocument/2006/relationships/hyperlink" Target="https://www.scope3transparent.de/unternehmen/" TargetMode="External"/><Relationship Id="rId71" Type="http://schemas.openxmlformats.org/officeDocument/2006/relationships/hyperlink" Target="https://www.klimatarier.com/at/CO2_Rechner" TargetMode="External"/><Relationship Id="rId92" Type="http://schemas.openxmlformats.org/officeDocument/2006/relationships/hyperlink" Target="https://www.probas.umweltbundesamt.de/php/prozessdetails.php?id=%7b65C51F09-9F88-4D3C-8858-CFBCACF98D53%7d" TargetMode="External"/><Relationship Id="rId213" Type="http://schemas.openxmlformats.org/officeDocument/2006/relationships/hyperlink" Target="https://www.scope3transparent.de/unternehmen/" TargetMode="External"/><Relationship Id="rId234" Type="http://schemas.openxmlformats.org/officeDocument/2006/relationships/hyperlink" Target="https://www.scope3transparent.de/unternehmen/" TargetMode="External"/><Relationship Id="rId2" Type="http://schemas.openxmlformats.org/officeDocument/2006/relationships/hyperlink" Target="https://www.ursa.de/de-de/produkte/Documents/ZT-xps-epd.pdf" TargetMode="External"/><Relationship Id="rId29" Type="http://schemas.openxmlformats.org/officeDocument/2006/relationships/hyperlink" Target="https://www.klimatarier.com/de/CO2_Rechner" TargetMode="External"/><Relationship Id="rId255" Type="http://schemas.openxmlformats.org/officeDocument/2006/relationships/hyperlink" Target="https://www.scope3transparent.de/unternehmen/" TargetMode="External"/><Relationship Id="rId276" Type="http://schemas.openxmlformats.org/officeDocument/2006/relationships/hyperlink" Target="https://www.scope3transparent.de/unternehmen/" TargetMode="External"/><Relationship Id="rId40" Type="http://schemas.openxmlformats.org/officeDocument/2006/relationships/hyperlink" Target="https://www.klimatarier.com/de/CO2_Rechner" TargetMode="External"/><Relationship Id="rId115" Type="http://schemas.openxmlformats.org/officeDocument/2006/relationships/hyperlink" Target="https://www.umweltbundesamt.de/sites/default/files/medien/377/publikationen/endbericht_oko-apc_2016_09_27.pdf" TargetMode="External"/><Relationship Id="rId136" Type="http://schemas.openxmlformats.org/officeDocument/2006/relationships/hyperlink" Target="https://www.scope3transparent.de/unternehmen/" TargetMode="External"/><Relationship Id="rId157" Type="http://schemas.openxmlformats.org/officeDocument/2006/relationships/hyperlink" Target="https://www.scope3transparent.de/unternehmen/" TargetMode="External"/><Relationship Id="rId178" Type="http://schemas.openxmlformats.org/officeDocument/2006/relationships/hyperlink" Target="https://www.scope3transparent.de/unternehmen/" TargetMode="External"/><Relationship Id="rId61" Type="http://schemas.openxmlformats.org/officeDocument/2006/relationships/hyperlink" Target="https://www.klimatarier.com/de/CO2_Rechner" TargetMode="External"/><Relationship Id="rId82" Type="http://schemas.openxmlformats.org/officeDocument/2006/relationships/hyperlink" Target="https://www.klimatarier.com/de/CO2_Rechner" TargetMode="External"/><Relationship Id="rId199" Type="http://schemas.openxmlformats.org/officeDocument/2006/relationships/hyperlink" Target="https://www.scope3transparent.de/unternehmen/" TargetMode="External"/><Relationship Id="rId203" Type="http://schemas.openxmlformats.org/officeDocument/2006/relationships/hyperlink" Target="https://www.scope3transparent.de/unternehmen/" TargetMode="External"/><Relationship Id="rId19" Type="http://schemas.openxmlformats.org/officeDocument/2006/relationships/hyperlink" Target="https://www.klimatarier.com/de/CO2_Rechner" TargetMode="External"/><Relationship Id="rId224" Type="http://schemas.openxmlformats.org/officeDocument/2006/relationships/hyperlink" Target="https://www.scope3transparent.de/unternehmen/" TargetMode="External"/><Relationship Id="rId245" Type="http://schemas.openxmlformats.org/officeDocument/2006/relationships/hyperlink" Target="https://www.scope3transparent.de/unternehmen/" TargetMode="External"/><Relationship Id="rId266" Type="http://schemas.openxmlformats.org/officeDocument/2006/relationships/hyperlink" Target="https://www.scope3transparent.de/unternehmen/" TargetMode="External"/><Relationship Id="rId287" Type="http://schemas.openxmlformats.org/officeDocument/2006/relationships/hyperlink" Target="https://www.scope3transparent.de/unternehmen/" TargetMode="External"/><Relationship Id="rId30" Type="http://schemas.openxmlformats.org/officeDocument/2006/relationships/hyperlink" Target="https://www.klimatarier.com/de/CO2_Rechner" TargetMode="External"/><Relationship Id="rId105" Type="http://schemas.openxmlformats.org/officeDocument/2006/relationships/hyperlink" Target="https://www.probas.umweltbundesamt.de/php/prozessdetails.php?id=%7b27CF6CA2-7DAF-44AE-899E-8FD686A8966C%7d" TargetMode="External"/><Relationship Id="rId126" Type="http://schemas.openxmlformats.org/officeDocument/2006/relationships/hyperlink" Target="https://www.probas.umweltbundesamt.de/php/prozessdetails.php?id=%7B0E0B2938-9043-11D3-B2C8-0080C8941B49%7D" TargetMode="External"/><Relationship Id="rId147" Type="http://schemas.openxmlformats.org/officeDocument/2006/relationships/hyperlink" Target="https://www.scope3transparent.de/unternehmen/" TargetMode="External"/><Relationship Id="rId168" Type="http://schemas.openxmlformats.org/officeDocument/2006/relationships/hyperlink" Target="https://www.scope3transparent.de/unternehmen/" TargetMode="External"/><Relationship Id="rId51" Type="http://schemas.openxmlformats.org/officeDocument/2006/relationships/hyperlink" Target="https://www.klimatarier.com/at/CO2_Rechner" TargetMode="External"/><Relationship Id="rId72" Type="http://schemas.openxmlformats.org/officeDocument/2006/relationships/hyperlink" Target="https://www.klimatarier.com/at/CO2_Rechner" TargetMode="External"/><Relationship Id="rId93" Type="http://schemas.openxmlformats.org/officeDocument/2006/relationships/hyperlink" Target="https://www.probas.umweltbundesamt.de/php/prozessdetails.php?id=%7bC9EB2BC2-D28C-488C-A118-7F5F9ACBD068%7d" TargetMode="External"/><Relationship Id="rId189" Type="http://schemas.openxmlformats.org/officeDocument/2006/relationships/hyperlink" Target="https://www.scope3transparent.de/unternehmen/" TargetMode="External"/><Relationship Id="rId3" Type="http://schemas.openxmlformats.org/officeDocument/2006/relationships/hyperlink" Target="https://oe1.orf.at/artikel/274414/Der-oekologische-Fussabdruck-von-Bier" TargetMode="External"/><Relationship Id="rId214" Type="http://schemas.openxmlformats.org/officeDocument/2006/relationships/hyperlink" Target="https://www.scope3transparent.de/unternehmen/" TargetMode="External"/><Relationship Id="rId235" Type="http://schemas.openxmlformats.org/officeDocument/2006/relationships/hyperlink" Target="https://www.scope3transparent.de/unternehmen/" TargetMode="External"/><Relationship Id="rId256" Type="http://schemas.openxmlformats.org/officeDocument/2006/relationships/hyperlink" Target="https://www.scope3transparent.de/unternehmen/" TargetMode="External"/><Relationship Id="rId277" Type="http://schemas.openxmlformats.org/officeDocument/2006/relationships/hyperlink" Target="https://www.scope3transparent.de/unternehmen/" TargetMode="External"/><Relationship Id="rId116" Type="http://schemas.openxmlformats.org/officeDocument/2006/relationships/hyperlink" Target="https://www.umweltbundesamt.de/sites/default/files/medien/377/publikationen/endbericht_oko-apc_2016_09_27.pdf" TargetMode="External"/><Relationship Id="rId137" Type="http://schemas.openxmlformats.org/officeDocument/2006/relationships/hyperlink" Target="https://www.scope3transparent.de/unternehmen/" TargetMode="External"/><Relationship Id="rId158" Type="http://schemas.openxmlformats.org/officeDocument/2006/relationships/hyperlink" Target="https://www.scope3transparent.de/unternehmen/" TargetMode="External"/><Relationship Id="rId20" Type="http://schemas.openxmlformats.org/officeDocument/2006/relationships/hyperlink" Target="https://www.klimatarier.com/de/CO2_Rechner" TargetMode="External"/><Relationship Id="rId41" Type="http://schemas.openxmlformats.org/officeDocument/2006/relationships/hyperlink" Target="https://www.klimatarier.com/de/CO2_Rechner" TargetMode="External"/><Relationship Id="rId62" Type="http://schemas.openxmlformats.org/officeDocument/2006/relationships/hyperlink" Target="https://www.klimatarier.com/at/CO2_Rechner" TargetMode="External"/><Relationship Id="rId83" Type="http://schemas.openxmlformats.org/officeDocument/2006/relationships/hyperlink" Target="https://www.klimatarier.com/de/CO2_Rechner" TargetMode="External"/><Relationship Id="rId179" Type="http://schemas.openxmlformats.org/officeDocument/2006/relationships/hyperlink" Target="https://www.scope3transparent.de/unternehmen/" TargetMode="External"/><Relationship Id="rId190" Type="http://schemas.openxmlformats.org/officeDocument/2006/relationships/hyperlink" Target="https://www.scope3transparent.de/unternehmen/" TargetMode="External"/><Relationship Id="rId204" Type="http://schemas.openxmlformats.org/officeDocument/2006/relationships/hyperlink" Target="https://www.scope3transparent.de/unternehmen/" TargetMode="External"/><Relationship Id="rId225" Type="http://schemas.openxmlformats.org/officeDocument/2006/relationships/hyperlink" Target="https://www.scope3transparent.de/unternehmen/" TargetMode="External"/><Relationship Id="rId246" Type="http://schemas.openxmlformats.org/officeDocument/2006/relationships/hyperlink" Target="https://www.scope3transparent.de/unternehmen/" TargetMode="External"/><Relationship Id="rId267" Type="http://schemas.openxmlformats.org/officeDocument/2006/relationships/hyperlink" Target="https://www.scope3transparent.de/unternehmen/" TargetMode="External"/><Relationship Id="rId288" Type="http://schemas.openxmlformats.org/officeDocument/2006/relationships/hyperlink" Target="https://www.scope3transparent.de/unternehmen/" TargetMode="External"/><Relationship Id="rId106" Type="http://schemas.openxmlformats.org/officeDocument/2006/relationships/hyperlink" Target="https://www.probas.umweltbundesamt.de/php/prozessdetails.php?id=%7bA8276F10-4E60-45C4-A7BA-5803FDD637C7%7d" TargetMode="External"/><Relationship Id="rId127" Type="http://schemas.openxmlformats.org/officeDocument/2006/relationships/hyperlink" Target="https://www.scope3transparent.de/unternehmen/" TargetMode="External"/><Relationship Id="rId10" Type="http://schemas.openxmlformats.org/officeDocument/2006/relationships/hyperlink" Target="https://www.klimatarier.com/de/CO2_Rechner" TargetMode="External"/><Relationship Id="rId31" Type="http://schemas.openxmlformats.org/officeDocument/2006/relationships/hyperlink" Target="https://www.klimatarier.com/de/CO2_Rechner" TargetMode="External"/><Relationship Id="rId52" Type="http://schemas.openxmlformats.org/officeDocument/2006/relationships/hyperlink" Target="https://eatsmarter.de/lexikon/warenkunde/gewuerze/knoblauch" TargetMode="External"/><Relationship Id="rId73" Type="http://schemas.openxmlformats.org/officeDocument/2006/relationships/hyperlink" Target="https://www.klimatarier.com/at/CO2_Rechner" TargetMode="External"/><Relationship Id="rId94" Type="http://schemas.openxmlformats.org/officeDocument/2006/relationships/hyperlink" Target="https://www.probas.umweltbundesamt.de/php/prozessdetails.php?id=%7b3E42D2A7-41F4-46D6-B82F-3D87E9DDAA89%7d" TargetMode="External"/><Relationship Id="rId148" Type="http://schemas.openxmlformats.org/officeDocument/2006/relationships/hyperlink" Target="https://www.scope3transparent.de/unternehmen/" TargetMode="External"/><Relationship Id="rId169" Type="http://schemas.openxmlformats.org/officeDocument/2006/relationships/hyperlink" Target="https://www.scope3transparent.de/unternehmen/" TargetMode="External"/><Relationship Id="rId4" Type="http://schemas.openxmlformats.org/officeDocument/2006/relationships/hyperlink" Target="https://www.lwg.bayern.de/weinbau/087354/index.php" TargetMode="External"/><Relationship Id="rId180" Type="http://schemas.openxmlformats.org/officeDocument/2006/relationships/hyperlink" Target="https://www.scope3transparent.de/unternehmen/" TargetMode="External"/><Relationship Id="rId215" Type="http://schemas.openxmlformats.org/officeDocument/2006/relationships/hyperlink" Target="https://www.scope3transparent.de/unternehmen/" TargetMode="External"/><Relationship Id="rId236" Type="http://schemas.openxmlformats.org/officeDocument/2006/relationships/hyperlink" Target="https://www.scope3transparent.de/unternehmen/" TargetMode="External"/><Relationship Id="rId257" Type="http://schemas.openxmlformats.org/officeDocument/2006/relationships/hyperlink" Target="https://www.scope3transparent.de/unternehmen/" TargetMode="External"/><Relationship Id="rId278" Type="http://schemas.openxmlformats.org/officeDocument/2006/relationships/hyperlink" Target="https://www.scope3transparent.de/unternehmen/" TargetMode="External"/><Relationship Id="rId42" Type="http://schemas.openxmlformats.org/officeDocument/2006/relationships/hyperlink" Target="https://www.probas.umweltbundesamt.de/php/prozessdetails.php?id=%7bD67F9971-D39A-4EAB-B872-A593687A3DB1%7d" TargetMode="External"/><Relationship Id="rId84" Type="http://schemas.openxmlformats.org/officeDocument/2006/relationships/hyperlink" Target="https://www.klimatarier.com/de/CO2_Rechner" TargetMode="External"/><Relationship Id="rId138" Type="http://schemas.openxmlformats.org/officeDocument/2006/relationships/hyperlink" Target="https://www.scope3transparent.de/unternehmen/" TargetMode="External"/><Relationship Id="rId191" Type="http://schemas.openxmlformats.org/officeDocument/2006/relationships/hyperlink" Target="https://www.scope3transparent.de/unternehmen/" TargetMode="External"/><Relationship Id="rId205" Type="http://schemas.openxmlformats.org/officeDocument/2006/relationships/hyperlink" Target="https://www.scope3transparent.de/unternehmen/" TargetMode="External"/><Relationship Id="rId247" Type="http://schemas.openxmlformats.org/officeDocument/2006/relationships/hyperlink" Target="https://www.scope3transparent.de/unternehmen/" TargetMode="External"/><Relationship Id="rId107" Type="http://schemas.openxmlformats.org/officeDocument/2006/relationships/hyperlink" Target="https://www.probas.umweltbundesamt.de/php/prozessdetails.php?id=%7b2E9ADEB4-20B2-4E89-A0CF-728D62C82E93%7d" TargetMode="External"/><Relationship Id="rId289" Type="http://schemas.openxmlformats.org/officeDocument/2006/relationships/hyperlink" Target="https://www.scope3transparent.de/unternehmen/" TargetMode="External"/><Relationship Id="rId11" Type="http://schemas.openxmlformats.org/officeDocument/2006/relationships/hyperlink" Target="https://www.klimatarier.com/de/CO2_Rechner" TargetMode="External"/><Relationship Id="rId53" Type="http://schemas.openxmlformats.org/officeDocument/2006/relationships/hyperlink" Target="https://eatsmarter.de/lexikon/warenkunde/gemuese/meerrettich" TargetMode="External"/><Relationship Id="rId149" Type="http://schemas.openxmlformats.org/officeDocument/2006/relationships/hyperlink" Target="https://www.scope3transparent.de/unternehmen/" TargetMode="External"/><Relationship Id="rId95" Type="http://schemas.openxmlformats.org/officeDocument/2006/relationships/hyperlink" Target="https://www.probas.umweltbundesamt.de/php/prozessdetails.php?id=%7b4307FE50-7117-49E3-9D6F-E82A6F594516%7d" TargetMode="External"/><Relationship Id="rId160" Type="http://schemas.openxmlformats.org/officeDocument/2006/relationships/hyperlink" Target="https://www.scope3transparent.de/unternehmen/" TargetMode="External"/><Relationship Id="rId216" Type="http://schemas.openxmlformats.org/officeDocument/2006/relationships/hyperlink" Target="https://www.scope3transparent.de/unternehmen/" TargetMode="External"/><Relationship Id="rId258" Type="http://schemas.openxmlformats.org/officeDocument/2006/relationships/hyperlink" Target="https://www.scope3transparent.de/unternehmen/" TargetMode="External"/><Relationship Id="rId22" Type="http://schemas.openxmlformats.org/officeDocument/2006/relationships/hyperlink" Target="https://www.klimatarier.com/de/CO2_Rechner" TargetMode="External"/><Relationship Id="rId64" Type="http://schemas.openxmlformats.org/officeDocument/2006/relationships/hyperlink" Target="https://www.klimatarier.com/at/CO2_Rechner" TargetMode="External"/><Relationship Id="rId118" Type="http://schemas.openxmlformats.org/officeDocument/2006/relationships/hyperlink" Target="https://www.umweltbundesamt.de/sites/default/files/medien/377/publikationen/endbericht_oko-apc_2016_09_27.pdf" TargetMode="External"/><Relationship Id="rId171" Type="http://schemas.openxmlformats.org/officeDocument/2006/relationships/hyperlink" Target="https://www.scope3transparent.de/unternehmen/" TargetMode="External"/><Relationship Id="rId227" Type="http://schemas.openxmlformats.org/officeDocument/2006/relationships/hyperlink" Target="https://www.scope3transparent.de/unternehmen/" TargetMode="External"/><Relationship Id="rId269" Type="http://schemas.openxmlformats.org/officeDocument/2006/relationships/hyperlink" Target="https://www.scope3transparent.de/unternehmen/" TargetMode="External"/></Relationships>
</file>

<file path=xl/worksheets/_rels/sheet19.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www.chip.de/artikel/Schneefraesen-Test-Die-preiswertesten-Schneefraesen-im-Markt-Check_179404143.html" TargetMode="External"/><Relationship Id="rId7" Type="http://schemas.openxmlformats.org/officeDocument/2006/relationships/table" Target="../tables/table2.xml"/><Relationship Id="rId12" Type="http://schemas.openxmlformats.org/officeDocument/2006/relationships/comments" Target="../comments15.xml"/><Relationship Id="rId2" Type="http://schemas.openxmlformats.org/officeDocument/2006/relationships/hyperlink" Target="https://www.spritmonitor.de/de/detailansicht/688571.html" TargetMode="External"/><Relationship Id="rId1" Type="http://schemas.openxmlformats.org/officeDocument/2006/relationships/hyperlink" Target="https://www.spritmonitor.de/de/detailansicht/688571.html" TargetMode="External"/><Relationship Id="rId6" Type="http://schemas.openxmlformats.org/officeDocument/2006/relationships/vmlDrawing" Target="../drawings/vmlDrawing15.vml"/><Relationship Id="rId11" Type="http://schemas.openxmlformats.org/officeDocument/2006/relationships/table" Target="../tables/table6.xml"/><Relationship Id="rId5" Type="http://schemas.openxmlformats.org/officeDocument/2006/relationships/drawing" Target="../drawings/drawing17.xml"/><Relationship Id="rId10" Type="http://schemas.openxmlformats.org/officeDocument/2006/relationships/table" Target="../tables/table5.xml"/><Relationship Id="rId4" Type="http://schemas.openxmlformats.org/officeDocument/2006/relationships/printerSettings" Target="../printerSettings/printerSettings19.bin"/><Relationship Id="rId9"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20.bin"/><Relationship Id="rId5" Type="http://schemas.openxmlformats.org/officeDocument/2006/relationships/comments" Target="../comments16.xml"/><Relationship Id="rId4" Type="http://schemas.openxmlformats.org/officeDocument/2006/relationships/table" Target="../tables/table7.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F5B50-A33F-43F5-B910-18EE8E9EB61E}">
  <sheetPr>
    <pageSetUpPr fitToPage="1"/>
  </sheetPr>
  <dimension ref="A1:AX1186"/>
  <sheetViews>
    <sheetView showGridLines="0" zoomScaleNormal="100" workbookViewId="0"/>
  </sheetViews>
  <sheetFormatPr baseColWidth="10" defaultColWidth="10.58203125" defaultRowHeight="14.5"/>
  <cols>
    <col min="1" max="1" width="2.58203125" style="323" customWidth="1"/>
    <col min="2" max="2" width="35.58203125" style="323" customWidth="1"/>
    <col min="3" max="3" width="2.33203125" style="323" customWidth="1"/>
    <col min="4" max="4" width="36.75" style="323" customWidth="1"/>
    <col min="5" max="5" width="2.83203125" style="323" customWidth="1"/>
    <col min="6" max="6" width="45.83203125" style="323" customWidth="1"/>
    <col min="7" max="7" width="10.58203125" style="323"/>
    <col min="8" max="50" width="10.58203125" style="315"/>
    <col min="51" max="16384" width="10.58203125" style="323"/>
  </cols>
  <sheetData>
    <row r="1" spans="1:7" ht="38.5">
      <c r="A1" s="354"/>
      <c r="B1" s="336" t="s">
        <v>0</v>
      </c>
      <c r="C1" s="355"/>
      <c r="D1" s="355"/>
      <c r="E1" s="355"/>
      <c r="F1" s="355"/>
      <c r="G1" s="356"/>
    </row>
    <row r="2" spans="1:7" ht="39" customHeight="1">
      <c r="A2" s="357"/>
      <c r="B2" s="358"/>
      <c r="C2" s="358"/>
      <c r="D2" s="358"/>
      <c r="E2" s="358"/>
      <c r="F2" s="358"/>
      <c r="G2" s="359"/>
    </row>
    <row r="3" spans="1:7">
      <c r="A3" s="357"/>
      <c r="B3" s="328" t="s">
        <v>1</v>
      </c>
      <c r="C3" s="358"/>
      <c r="D3" s="343" t="s">
        <v>2</v>
      </c>
      <c r="E3" s="358"/>
      <c r="F3" s="328" t="s">
        <v>1</v>
      </c>
      <c r="G3" s="359"/>
    </row>
    <row r="4" spans="1:7" ht="5.15" customHeight="1">
      <c r="A4" s="357"/>
      <c r="B4" s="358"/>
      <c r="C4" s="358"/>
      <c r="D4" s="358"/>
      <c r="E4" s="358"/>
      <c r="F4" s="358"/>
      <c r="G4" s="359"/>
    </row>
    <row r="5" spans="1:7">
      <c r="A5" s="357"/>
      <c r="B5" s="337" t="s">
        <v>3</v>
      </c>
      <c r="C5" s="358"/>
      <c r="D5" s="338" t="s">
        <v>4</v>
      </c>
      <c r="E5" s="358"/>
      <c r="F5" s="342" t="s">
        <v>5</v>
      </c>
      <c r="G5" s="359"/>
    </row>
    <row r="6" spans="1:7">
      <c r="A6" s="357"/>
      <c r="B6" s="982" t="s">
        <v>6</v>
      </c>
      <c r="C6" s="358"/>
      <c r="D6" s="984" t="s">
        <v>7</v>
      </c>
      <c r="E6" s="358"/>
      <c r="F6" s="993" t="s">
        <v>8</v>
      </c>
      <c r="G6" s="359"/>
    </row>
    <row r="7" spans="1:7">
      <c r="A7" s="357"/>
      <c r="B7" s="983" t="s">
        <v>9</v>
      </c>
      <c r="C7" s="358"/>
      <c r="D7" s="985" t="s">
        <v>1814</v>
      </c>
      <c r="E7" s="358"/>
      <c r="F7" s="993" t="s">
        <v>10</v>
      </c>
      <c r="G7" s="359"/>
    </row>
    <row r="8" spans="1:7">
      <c r="A8" s="357"/>
      <c r="B8" s="358"/>
      <c r="C8" s="358"/>
      <c r="D8" s="358"/>
      <c r="E8" s="358"/>
      <c r="F8" s="994" t="s">
        <v>11</v>
      </c>
      <c r="G8" s="359"/>
    </row>
    <row r="9" spans="1:7">
      <c r="A9" s="357"/>
      <c r="B9" s="358"/>
      <c r="C9" s="358"/>
      <c r="D9" s="339" t="s">
        <v>12</v>
      </c>
      <c r="E9" s="358"/>
      <c r="F9" s="360"/>
      <c r="G9" s="359"/>
    </row>
    <row r="10" spans="1:7">
      <c r="A10" s="357"/>
      <c r="B10" s="358"/>
      <c r="C10" s="358"/>
      <c r="D10" s="986" t="s">
        <v>13</v>
      </c>
      <c r="E10" s="358"/>
      <c r="F10" s="344" t="s">
        <v>14</v>
      </c>
      <c r="G10" s="359"/>
    </row>
    <row r="11" spans="1:7">
      <c r="A11" s="357"/>
      <c r="B11" s="358"/>
      <c r="C11" s="358"/>
      <c r="D11" s="986" t="s">
        <v>15</v>
      </c>
      <c r="E11" s="358"/>
      <c r="F11" s="995" t="s">
        <v>1815</v>
      </c>
      <c r="G11" s="359"/>
    </row>
    <row r="12" spans="1:7">
      <c r="A12" s="357"/>
      <c r="B12" s="358"/>
      <c r="C12" s="358"/>
      <c r="D12" s="986" t="s">
        <v>16</v>
      </c>
      <c r="E12" s="358"/>
      <c r="F12" s="995" t="s">
        <v>1816</v>
      </c>
      <c r="G12" s="359"/>
    </row>
    <row r="13" spans="1:7">
      <c r="A13" s="357"/>
      <c r="B13" s="358"/>
      <c r="C13" s="358"/>
      <c r="D13" s="987" t="s">
        <v>17</v>
      </c>
      <c r="E13" s="358"/>
      <c r="F13" s="995" t="s">
        <v>1817</v>
      </c>
      <c r="G13" s="359"/>
    </row>
    <row r="14" spans="1:7">
      <c r="A14" s="357"/>
      <c r="B14" s="358"/>
      <c r="C14" s="358"/>
      <c r="D14" s="360"/>
      <c r="E14" s="358"/>
      <c r="F14" s="345" t="s">
        <v>18</v>
      </c>
      <c r="G14" s="359"/>
    </row>
    <row r="15" spans="1:7">
      <c r="A15" s="357"/>
      <c r="B15" s="358"/>
      <c r="C15" s="358"/>
      <c r="D15" s="340" t="s">
        <v>19</v>
      </c>
      <c r="E15" s="358"/>
      <c r="F15" s="361"/>
      <c r="G15" s="359"/>
    </row>
    <row r="16" spans="1:7">
      <c r="A16" s="357"/>
      <c r="B16" s="358"/>
      <c r="C16" s="358"/>
      <c r="D16" s="989" t="s">
        <v>20</v>
      </c>
      <c r="E16" s="358"/>
      <c r="F16" s="988" t="s">
        <v>21</v>
      </c>
      <c r="G16" s="359"/>
    </row>
    <row r="17" spans="1:10">
      <c r="A17" s="357"/>
      <c r="B17" s="358"/>
      <c r="C17" s="358"/>
      <c r="D17" s="990" t="s">
        <v>22</v>
      </c>
      <c r="E17" s="358"/>
      <c r="F17" s="358"/>
      <c r="G17" s="359"/>
      <c r="H17" s="358"/>
      <c r="I17" s="358"/>
      <c r="J17" s="358"/>
    </row>
    <row r="18" spans="1:10">
      <c r="A18" s="357"/>
      <c r="B18" s="358"/>
      <c r="C18" s="358"/>
      <c r="D18" s="360"/>
      <c r="E18" s="358"/>
      <c r="F18" s="358"/>
      <c r="G18" s="359"/>
      <c r="H18" s="358"/>
      <c r="I18" s="358"/>
      <c r="J18" s="358"/>
    </row>
    <row r="19" spans="1:10" ht="43.5">
      <c r="A19" s="357"/>
      <c r="B19" s="358"/>
      <c r="C19" s="358"/>
      <c r="D19" s="341" t="s">
        <v>23</v>
      </c>
      <c r="E19" s="358"/>
      <c r="F19" s="358"/>
      <c r="G19" s="359"/>
      <c r="H19" s="358"/>
      <c r="I19" s="358"/>
      <c r="J19" s="358"/>
    </row>
    <row r="20" spans="1:10">
      <c r="A20" s="357"/>
      <c r="B20" s="358"/>
      <c r="C20" s="358"/>
      <c r="D20" s="991" t="s">
        <v>1812</v>
      </c>
      <c r="E20" s="358"/>
      <c r="F20" s="358"/>
      <c r="G20" s="359"/>
      <c r="H20" s="358"/>
      <c r="I20" s="358"/>
      <c r="J20" s="358"/>
    </row>
    <row r="21" spans="1:10">
      <c r="A21" s="357"/>
      <c r="B21" s="358"/>
      <c r="C21" s="358"/>
      <c r="D21" s="992" t="s">
        <v>1813</v>
      </c>
      <c r="E21" s="358"/>
      <c r="F21" s="358"/>
      <c r="G21" s="359"/>
      <c r="H21" s="358"/>
      <c r="I21" s="358"/>
      <c r="J21" s="358"/>
    </row>
    <row r="22" spans="1:10" ht="15" thickBot="1">
      <c r="A22" s="362"/>
      <c r="B22" s="363"/>
      <c r="C22" s="363"/>
      <c r="D22" s="363"/>
      <c r="E22" s="363"/>
      <c r="F22" s="363"/>
      <c r="G22" s="364"/>
      <c r="H22" s="358"/>
      <c r="I22" s="358"/>
      <c r="J22" s="358"/>
    </row>
    <row r="23" spans="1:10" s="315" customFormat="1">
      <c r="A23" s="358"/>
      <c r="B23" s="358"/>
      <c r="C23" s="358"/>
      <c r="D23" s="358"/>
      <c r="E23" s="358"/>
      <c r="F23" s="358"/>
      <c r="G23" s="358"/>
      <c r="H23" s="358"/>
      <c r="I23" s="358"/>
      <c r="J23" s="358"/>
    </row>
    <row r="24" spans="1:10" s="315" customFormat="1">
      <c r="A24" s="358"/>
      <c r="B24" s="358"/>
      <c r="C24" s="358"/>
      <c r="D24" s="358"/>
      <c r="E24" s="358"/>
      <c r="F24" s="358"/>
      <c r="G24" s="358"/>
      <c r="H24" s="358"/>
      <c r="I24" s="358"/>
      <c r="J24" s="358"/>
    </row>
    <row r="25" spans="1:10" s="315" customFormat="1">
      <c r="A25" s="358"/>
      <c r="B25" s="358"/>
      <c r="C25" s="358"/>
      <c r="D25" s="358"/>
      <c r="E25" s="358"/>
      <c r="F25" s="358"/>
      <c r="G25" s="358"/>
      <c r="H25" s="358"/>
      <c r="I25" s="358"/>
      <c r="J25" s="358"/>
    </row>
    <row r="26" spans="1:10" s="315" customFormat="1">
      <c r="A26" s="358"/>
      <c r="B26" s="358"/>
      <c r="C26" s="358"/>
      <c r="D26" s="358"/>
      <c r="E26" s="358"/>
      <c r="F26" s="358"/>
      <c r="G26" s="358"/>
      <c r="H26" s="358"/>
      <c r="I26" s="358"/>
      <c r="J26" s="358"/>
    </row>
    <row r="27" spans="1:10" s="315" customFormat="1">
      <c r="A27" s="358"/>
      <c r="B27" s="358"/>
      <c r="C27" s="358"/>
      <c r="D27" s="358"/>
      <c r="E27" s="358"/>
      <c r="F27" s="358"/>
      <c r="G27" s="358"/>
      <c r="H27" s="358"/>
      <c r="I27" s="358"/>
      <c r="J27" s="358"/>
    </row>
    <row r="28" spans="1:10" s="315" customFormat="1">
      <c r="A28" s="358"/>
      <c r="B28" s="358"/>
      <c r="C28" s="358"/>
      <c r="D28" s="358"/>
      <c r="E28" s="358"/>
      <c r="F28" s="358"/>
      <c r="G28" s="358"/>
      <c r="H28" s="358"/>
      <c r="I28" s="358"/>
      <c r="J28" s="358"/>
    </row>
    <row r="29" spans="1:10" s="315" customFormat="1">
      <c r="A29" s="358"/>
      <c r="B29" s="358"/>
      <c r="C29" s="358"/>
      <c r="D29" s="358"/>
      <c r="E29" s="358"/>
      <c r="F29" s="358"/>
      <c r="G29" s="358"/>
      <c r="H29" s="358"/>
      <c r="I29" s="358"/>
      <c r="J29" s="358"/>
    </row>
    <row r="30" spans="1:10" s="315" customFormat="1">
      <c r="A30" s="358"/>
      <c r="B30" s="358"/>
      <c r="C30" s="358"/>
      <c r="D30" s="358"/>
      <c r="E30" s="358"/>
      <c r="F30" s="358"/>
      <c r="G30" s="358"/>
      <c r="H30" s="358"/>
      <c r="I30" s="358"/>
      <c r="J30" s="358"/>
    </row>
    <row r="31" spans="1:10" s="315" customFormat="1">
      <c r="A31" s="358"/>
      <c r="B31" s="358"/>
      <c r="C31" s="358"/>
      <c r="D31" s="358"/>
      <c r="E31" s="358"/>
      <c r="F31" s="358"/>
      <c r="G31" s="358"/>
      <c r="H31" s="358"/>
      <c r="I31" s="358"/>
      <c r="J31" s="358"/>
    </row>
    <row r="32" spans="1:10" s="315" customFormat="1">
      <c r="A32" s="358"/>
      <c r="B32" s="358"/>
      <c r="C32" s="358"/>
      <c r="D32" s="358"/>
      <c r="E32" s="358"/>
      <c r="F32" s="358"/>
      <c r="G32" s="358"/>
      <c r="H32" s="358"/>
      <c r="I32" s="358"/>
      <c r="J32" s="358"/>
    </row>
    <row r="33" s="315" customFormat="1"/>
    <row r="34" s="315" customFormat="1"/>
    <row r="35" s="315" customFormat="1"/>
    <row r="36" s="315" customFormat="1"/>
    <row r="37" s="315" customFormat="1"/>
    <row r="38" s="315" customFormat="1"/>
    <row r="39" s="315" customFormat="1"/>
    <row r="40" s="315" customFormat="1"/>
    <row r="41" s="315" customFormat="1"/>
    <row r="42" s="315" customFormat="1"/>
    <row r="43" s="315" customFormat="1"/>
    <row r="44" s="315" customFormat="1"/>
    <row r="45" s="315" customFormat="1"/>
    <row r="46" s="315" customFormat="1"/>
    <row r="47" s="315" customFormat="1"/>
    <row r="48" s="315" customFormat="1"/>
    <row r="49" s="315" customFormat="1"/>
    <row r="50" s="315" customFormat="1"/>
    <row r="51" s="315" customFormat="1"/>
    <row r="52" s="315" customFormat="1"/>
    <row r="53" s="315" customFormat="1"/>
    <row r="54" s="315" customFormat="1"/>
    <row r="55" s="315" customFormat="1"/>
    <row r="56" s="315" customFormat="1"/>
    <row r="57" s="315" customFormat="1"/>
    <row r="58" s="315" customFormat="1"/>
    <row r="59" s="315" customFormat="1"/>
    <row r="60" s="315" customFormat="1"/>
    <row r="61" s="315" customFormat="1"/>
    <row r="62" s="315" customFormat="1"/>
    <row r="63" s="315" customFormat="1"/>
    <row r="64" s="315" customFormat="1"/>
    <row r="65" s="315" customFormat="1"/>
    <row r="66" s="315" customFormat="1"/>
    <row r="67" s="315" customFormat="1"/>
    <row r="68" s="315" customFormat="1"/>
    <row r="69" s="315" customFormat="1"/>
    <row r="70" s="315" customFormat="1"/>
    <row r="71" s="315" customFormat="1"/>
    <row r="72" s="315" customFormat="1"/>
    <row r="73" s="315" customFormat="1"/>
    <row r="74" s="315" customFormat="1"/>
    <row r="75" s="315" customFormat="1"/>
    <row r="76" s="315" customFormat="1"/>
    <row r="77" s="315" customFormat="1"/>
    <row r="78" s="315" customFormat="1"/>
    <row r="79" s="315" customFormat="1"/>
    <row r="80" s="315" customFormat="1"/>
    <row r="81" s="315" customFormat="1"/>
    <row r="82" s="315" customFormat="1"/>
    <row r="83" s="315" customFormat="1"/>
    <row r="84" s="315" customFormat="1"/>
    <row r="85" s="315" customFormat="1"/>
    <row r="86" s="315" customFormat="1"/>
    <row r="87" s="315" customFormat="1"/>
    <row r="88" s="315" customFormat="1"/>
    <row r="89" s="315" customFormat="1"/>
    <row r="90" s="315" customFormat="1"/>
    <row r="91" s="315" customFormat="1"/>
    <row r="92" s="315" customFormat="1"/>
    <row r="93" s="315" customFormat="1"/>
    <row r="94" s="315" customFormat="1"/>
    <row r="95" s="315" customFormat="1"/>
    <row r="96" s="315" customFormat="1"/>
    <row r="97" s="315" customFormat="1"/>
    <row r="98" s="315" customFormat="1"/>
    <row r="99" s="315" customFormat="1"/>
    <row r="100" s="315" customFormat="1"/>
    <row r="101" s="315" customFormat="1"/>
    <row r="102" s="315" customFormat="1"/>
    <row r="103" s="315" customFormat="1"/>
    <row r="104" s="315" customFormat="1"/>
    <row r="105" s="315" customFormat="1"/>
    <row r="106" s="315" customFormat="1"/>
    <row r="107" s="315" customFormat="1"/>
    <row r="108" s="315" customFormat="1"/>
    <row r="109" s="315" customFormat="1"/>
    <row r="110" s="315" customFormat="1"/>
    <row r="111" s="315" customFormat="1"/>
    <row r="112" s="315" customFormat="1"/>
    <row r="113" s="315" customFormat="1"/>
    <row r="114" s="315" customFormat="1"/>
    <row r="115" s="315" customFormat="1"/>
    <row r="116" s="315" customFormat="1"/>
    <row r="117" s="315" customFormat="1"/>
    <row r="118" s="315" customFormat="1"/>
    <row r="119" s="315" customFormat="1"/>
    <row r="120" s="315" customFormat="1"/>
    <row r="121" s="315" customFormat="1"/>
    <row r="122" s="315" customFormat="1"/>
    <row r="123" s="315" customFormat="1"/>
    <row r="124" s="315" customFormat="1"/>
    <row r="125" s="315" customFormat="1"/>
    <row r="126" s="315" customFormat="1"/>
    <row r="127" s="315" customFormat="1"/>
    <row r="128" s="315" customFormat="1"/>
    <row r="129" s="315" customFormat="1"/>
    <row r="130" s="315" customFormat="1"/>
    <row r="131" s="315" customFormat="1"/>
    <row r="132" s="315" customFormat="1"/>
    <row r="133" s="315" customFormat="1"/>
    <row r="134" s="315" customFormat="1"/>
    <row r="135" s="315" customFormat="1"/>
    <row r="136" s="315" customFormat="1"/>
    <row r="137" s="315" customFormat="1"/>
    <row r="138" s="315" customFormat="1"/>
    <row r="139" s="315" customFormat="1"/>
    <row r="140" s="315" customFormat="1"/>
    <row r="141" s="315" customFormat="1"/>
    <row r="142" s="315" customFormat="1"/>
    <row r="143" s="315" customFormat="1"/>
    <row r="144" s="315" customFormat="1"/>
    <row r="145" s="315" customFormat="1"/>
    <row r="146" s="315" customFormat="1"/>
    <row r="147" s="315" customFormat="1"/>
    <row r="148" s="315" customFormat="1"/>
    <row r="149" s="315" customFormat="1"/>
    <row r="150" s="315" customFormat="1"/>
    <row r="151" s="315" customFormat="1"/>
    <row r="152" s="315" customFormat="1"/>
    <row r="153" s="315" customFormat="1"/>
    <row r="154" s="315" customFormat="1"/>
    <row r="155" s="315" customFormat="1"/>
    <row r="156" s="315" customFormat="1"/>
    <row r="157" s="315" customFormat="1"/>
    <row r="158" s="315" customFormat="1"/>
    <row r="159" s="315" customFormat="1"/>
    <row r="160" s="315" customFormat="1"/>
    <row r="161" s="315" customFormat="1"/>
    <row r="162" s="315" customFormat="1"/>
    <row r="163" s="315" customFormat="1"/>
    <row r="164" s="315" customFormat="1"/>
    <row r="165" s="315" customFormat="1"/>
    <row r="166" s="315" customFormat="1"/>
    <row r="167" s="315" customFormat="1"/>
    <row r="168" s="315" customFormat="1"/>
    <row r="169" s="315" customFormat="1"/>
    <row r="170" s="315" customFormat="1"/>
    <row r="171" s="315" customFormat="1"/>
    <row r="172" s="315" customFormat="1"/>
    <row r="173" s="315" customFormat="1"/>
    <row r="174" s="315" customFormat="1"/>
    <row r="175" s="315" customFormat="1"/>
    <row r="176" s="315" customFormat="1"/>
    <row r="177" s="315" customFormat="1"/>
    <row r="178" s="315" customFormat="1"/>
    <row r="179" s="315" customFormat="1"/>
    <row r="180" s="315" customFormat="1"/>
    <row r="181" s="315" customFormat="1"/>
    <row r="182" s="315" customFormat="1"/>
    <row r="183" s="315" customFormat="1"/>
    <row r="184" s="315" customFormat="1"/>
    <row r="185" s="315" customFormat="1"/>
    <row r="186" s="315" customFormat="1"/>
    <row r="187" s="315" customFormat="1"/>
    <row r="188" s="315" customFormat="1"/>
    <row r="189" s="315" customFormat="1"/>
    <row r="190" s="315" customFormat="1"/>
    <row r="191" s="315" customFormat="1"/>
    <row r="192" s="315" customFormat="1"/>
    <row r="193" s="315" customFormat="1"/>
    <row r="194" s="315" customFormat="1"/>
    <row r="195" s="315" customFormat="1"/>
    <row r="196" s="315" customFormat="1"/>
    <row r="197" s="315" customFormat="1"/>
    <row r="198" s="315" customFormat="1"/>
    <row r="199" s="315" customFormat="1"/>
    <row r="200" s="315" customFormat="1"/>
    <row r="201" s="315" customFormat="1"/>
    <row r="202" s="315" customFormat="1"/>
    <row r="203" s="315" customFormat="1"/>
    <row r="204" s="315" customFormat="1"/>
    <row r="205" s="315" customFormat="1"/>
    <row r="206" s="315" customFormat="1"/>
    <row r="207" s="315" customFormat="1"/>
    <row r="208" s="315" customFormat="1"/>
    <row r="209" s="315" customFormat="1"/>
    <row r="210" s="315" customFormat="1"/>
    <row r="211" s="315" customFormat="1"/>
    <row r="212" s="315" customFormat="1"/>
    <row r="213" s="315" customFormat="1"/>
    <row r="214" s="315" customFormat="1"/>
    <row r="215" s="315" customFormat="1"/>
    <row r="216" s="315" customFormat="1"/>
    <row r="217" s="315" customFormat="1"/>
    <row r="218" s="315" customFormat="1"/>
    <row r="219" s="315" customFormat="1"/>
    <row r="220" s="315" customFormat="1"/>
    <row r="221" s="315" customFormat="1"/>
    <row r="222" s="315" customFormat="1"/>
    <row r="223" s="315" customFormat="1"/>
    <row r="224" s="315" customFormat="1"/>
    <row r="225" s="315" customFormat="1"/>
    <row r="226" s="315" customFormat="1"/>
    <row r="227" s="315" customFormat="1"/>
    <row r="228" s="315" customFormat="1"/>
    <row r="229" s="315" customFormat="1"/>
    <row r="230" s="315" customFormat="1"/>
    <row r="231" s="315" customFormat="1"/>
    <row r="232" s="315" customFormat="1"/>
    <row r="233" s="315" customFormat="1"/>
    <row r="234" s="315" customFormat="1"/>
    <row r="235" s="315" customFormat="1"/>
    <row r="236" s="315" customFormat="1"/>
    <row r="237" s="315" customFormat="1"/>
    <row r="238" s="315" customFormat="1"/>
    <row r="239" s="315" customFormat="1"/>
    <row r="240" s="315" customFormat="1"/>
    <row r="241" s="315" customFormat="1"/>
    <row r="242" s="315" customFormat="1"/>
    <row r="243" s="315" customFormat="1"/>
    <row r="244" s="315" customFormat="1"/>
    <row r="245" s="315" customFormat="1"/>
    <row r="246" s="315" customFormat="1"/>
    <row r="247" s="315" customFormat="1"/>
    <row r="248" s="315" customFormat="1"/>
    <row r="249" s="315" customFormat="1"/>
    <row r="250" s="315" customFormat="1"/>
    <row r="251" s="315" customFormat="1"/>
    <row r="252" s="315" customFormat="1"/>
    <row r="253" s="315" customFormat="1"/>
    <row r="254" s="315" customFormat="1"/>
    <row r="255" s="315" customFormat="1"/>
    <row r="256" s="315" customFormat="1"/>
    <row r="257" s="315" customFormat="1"/>
    <row r="258" s="315" customFormat="1"/>
    <row r="259" s="315" customFormat="1"/>
    <row r="260" s="315" customFormat="1"/>
    <row r="261" s="315" customFormat="1"/>
    <row r="262" s="315" customFormat="1"/>
    <row r="263" s="315" customFormat="1"/>
    <row r="264" s="315" customFormat="1"/>
    <row r="265" s="315" customFormat="1"/>
    <row r="266" s="315" customFormat="1"/>
    <row r="267" s="315" customFormat="1"/>
    <row r="268" s="315" customFormat="1"/>
    <row r="269" s="315" customFormat="1"/>
    <row r="270" s="315" customFormat="1"/>
    <row r="271" s="315" customFormat="1"/>
    <row r="272" s="315" customFormat="1"/>
    <row r="273" s="315" customFormat="1"/>
    <row r="274" s="315" customFormat="1"/>
    <row r="275" s="315" customFormat="1"/>
    <row r="276" s="315" customFormat="1"/>
    <row r="277" s="315" customFormat="1"/>
    <row r="278" s="315" customFormat="1"/>
    <row r="279" s="315" customFormat="1"/>
    <row r="280" s="315" customFormat="1"/>
    <row r="281" s="315" customFormat="1"/>
    <row r="282" s="315" customFormat="1"/>
    <row r="283" s="315" customFormat="1"/>
    <row r="284" s="315" customFormat="1"/>
    <row r="285" s="315" customFormat="1"/>
    <row r="286" s="315" customFormat="1"/>
    <row r="287" s="315" customFormat="1"/>
    <row r="288" s="315" customFormat="1"/>
    <row r="289" s="315" customFormat="1"/>
    <row r="290" s="315" customFormat="1"/>
    <row r="291" s="315" customFormat="1"/>
    <row r="292" s="315" customFormat="1"/>
    <row r="293" s="315" customFormat="1"/>
    <row r="294" s="315" customFormat="1"/>
    <row r="295" s="315" customFormat="1"/>
    <row r="296" s="315" customFormat="1"/>
    <row r="297" s="315" customFormat="1"/>
    <row r="298" s="315" customFormat="1"/>
    <row r="299" s="315" customFormat="1"/>
    <row r="300" s="315" customFormat="1"/>
    <row r="301" s="315" customFormat="1"/>
    <row r="302" s="315" customFormat="1"/>
    <row r="303" s="315" customFormat="1"/>
    <row r="304" s="315" customFormat="1"/>
    <row r="305" s="315" customFormat="1"/>
    <row r="306" s="315" customFormat="1"/>
    <row r="307" s="315" customFormat="1"/>
    <row r="308" s="315" customFormat="1"/>
    <row r="309" s="315" customFormat="1"/>
    <row r="310" s="315" customFormat="1"/>
    <row r="311" s="315" customFormat="1"/>
    <row r="312" s="315" customFormat="1"/>
    <row r="313" s="315" customFormat="1"/>
    <row r="314" s="315" customFormat="1"/>
    <row r="315" s="315" customFormat="1"/>
    <row r="316" s="315" customFormat="1"/>
    <row r="317" s="315" customFormat="1"/>
    <row r="318" s="315" customFormat="1"/>
    <row r="319" s="315" customFormat="1"/>
    <row r="320" s="315" customFormat="1"/>
    <row r="321" s="315" customFormat="1"/>
    <row r="322" s="315" customFormat="1"/>
    <row r="323" s="315" customFormat="1"/>
    <row r="324" s="315" customFormat="1"/>
    <row r="325" s="315" customFormat="1"/>
    <row r="326" s="315" customFormat="1"/>
    <row r="327" s="315" customFormat="1"/>
    <row r="328" s="315" customFormat="1"/>
    <row r="329" s="315" customFormat="1"/>
    <row r="330" s="315" customFormat="1"/>
    <row r="331" s="315" customFormat="1"/>
    <row r="332" s="315" customFormat="1"/>
    <row r="333" s="315" customFormat="1"/>
    <row r="334" s="315" customFormat="1"/>
    <row r="335" s="315" customFormat="1"/>
    <row r="336" s="315" customFormat="1"/>
    <row r="337" s="315" customFormat="1"/>
    <row r="338" s="315" customFormat="1"/>
    <row r="339" s="315" customFormat="1"/>
    <row r="340" s="315" customFormat="1"/>
    <row r="341" s="315" customFormat="1"/>
    <row r="342" s="315" customFormat="1"/>
    <row r="343" s="315" customFormat="1"/>
    <row r="344" s="315" customFormat="1"/>
    <row r="345" s="315" customFormat="1"/>
    <row r="346" s="315" customFormat="1"/>
    <row r="347" s="315" customFormat="1"/>
    <row r="348" s="315" customFormat="1"/>
    <row r="349" s="315" customFormat="1"/>
    <row r="350" s="315" customFormat="1"/>
    <row r="351" s="315" customFormat="1"/>
    <row r="352" s="315" customFormat="1"/>
    <row r="353" s="315" customFormat="1"/>
    <row r="354" s="315" customFormat="1"/>
    <row r="355" s="315" customFormat="1"/>
    <row r="356" s="315" customFormat="1"/>
    <row r="357" s="315" customFormat="1"/>
    <row r="358" s="315" customFormat="1"/>
    <row r="359" s="315" customFormat="1"/>
    <row r="360" s="315" customFormat="1"/>
    <row r="361" s="315" customFormat="1"/>
    <row r="362" s="315" customFormat="1"/>
    <row r="363" s="315" customFormat="1"/>
    <row r="364" s="315" customFormat="1"/>
    <row r="365" s="315" customFormat="1"/>
    <row r="366" s="315" customFormat="1"/>
    <row r="367" s="315" customFormat="1"/>
    <row r="368" s="315" customFormat="1"/>
    <row r="369" s="315" customFormat="1"/>
    <row r="370" s="315" customFormat="1"/>
    <row r="371" s="315" customFormat="1"/>
    <row r="372" s="315" customFormat="1"/>
    <row r="373" s="315" customFormat="1"/>
    <row r="374" s="315" customFormat="1"/>
    <row r="375" s="315" customFormat="1"/>
    <row r="376" s="315" customFormat="1"/>
    <row r="377" s="315" customFormat="1"/>
    <row r="378" s="315" customFormat="1"/>
    <row r="379" s="315" customFormat="1"/>
    <row r="380" s="315" customFormat="1"/>
    <row r="381" s="315" customFormat="1"/>
    <row r="382" s="315" customFormat="1"/>
    <row r="383" s="315" customFormat="1"/>
    <row r="384" s="315" customFormat="1"/>
    <row r="385" s="315" customFormat="1"/>
    <row r="386" s="315" customFormat="1"/>
    <row r="387" s="315" customFormat="1"/>
    <row r="388" s="315" customFormat="1"/>
    <row r="389" s="315" customFormat="1"/>
    <row r="390" s="315" customFormat="1"/>
    <row r="391" s="315" customFormat="1"/>
    <row r="392" s="315" customFormat="1"/>
    <row r="393" s="315" customFormat="1"/>
    <row r="394" s="315" customFormat="1"/>
    <row r="395" s="315" customFormat="1"/>
    <row r="396" s="315" customFormat="1"/>
    <row r="397" s="315" customFormat="1"/>
    <row r="398" s="315" customFormat="1"/>
    <row r="399" s="315" customFormat="1"/>
    <row r="400" s="315" customFormat="1"/>
    <row r="401" s="315" customFormat="1"/>
    <row r="402" s="315" customFormat="1"/>
    <row r="403" s="315" customFormat="1"/>
    <row r="404" s="315" customFormat="1"/>
    <row r="405" s="315" customFormat="1"/>
    <row r="406" s="315" customFormat="1"/>
    <row r="407" s="315" customFormat="1"/>
    <row r="408" s="315" customFormat="1"/>
    <row r="409" s="315" customFormat="1"/>
    <row r="410" s="315" customFormat="1"/>
    <row r="411" s="315" customFormat="1"/>
    <row r="412" s="315" customFormat="1"/>
    <row r="413" s="315" customFormat="1"/>
    <row r="414" s="315" customFormat="1"/>
    <row r="415" s="315" customFormat="1"/>
    <row r="416" s="315" customFormat="1"/>
    <row r="417" s="315" customFormat="1"/>
    <row r="418" s="315" customFormat="1"/>
    <row r="419" s="315" customFormat="1"/>
    <row r="420" s="315" customFormat="1"/>
    <row r="421" s="315" customFormat="1"/>
    <row r="422" s="315" customFormat="1"/>
    <row r="423" s="315" customFormat="1"/>
    <row r="424" s="315" customFormat="1"/>
    <row r="425" s="315" customFormat="1"/>
    <row r="426" s="315" customFormat="1"/>
    <row r="427" s="315" customFormat="1"/>
    <row r="428" s="315" customFormat="1"/>
    <row r="429" s="315" customFormat="1"/>
    <row r="430" s="315" customFormat="1"/>
    <row r="431" s="315" customFormat="1"/>
    <row r="432" s="315" customFormat="1"/>
    <row r="433" s="315" customFormat="1"/>
    <row r="434" s="315" customFormat="1"/>
    <row r="435" s="315" customFormat="1"/>
    <row r="436" s="315" customFormat="1"/>
    <row r="437" s="315" customFormat="1"/>
    <row r="438" s="315" customFormat="1"/>
    <row r="439" s="315" customFormat="1"/>
    <row r="440" s="315" customFormat="1"/>
    <row r="441" s="315" customFormat="1"/>
    <row r="442" s="315" customFormat="1"/>
    <row r="443" s="315" customFormat="1"/>
    <row r="444" s="315" customFormat="1"/>
    <row r="445" s="315" customFormat="1"/>
    <row r="446" s="315" customFormat="1"/>
    <row r="447" s="315" customFormat="1"/>
    <row r="448" s="315" customFormat="1"/>
    <row r="449" s="315" customFormat="1"/>
    <row r="450" s="315" customFormat="1"/>
    <row r="451" s="315" customFormat="1"/>
    <row r="452" s="315" customFormat="1"/>
    <row r="453" s="315" customFormat="1"/>
    <row r="454" s="315" customFormat="1"/>
    <row r="455" s="315" customFormat="1"/>
    <row r="456" s="315" customFormat="1"/>
    <row r="457" s="315" customFormat="1"/>
    <row r="458" s="315" customFormat="1"/>
    <row r="459" s="315" customFormat="1"/>
    <row r="460" s="315" customFormat="1"/>
    <row r="461" s="315" customFormat="1"/>
    <row r="462" s="315" customFormat="1"/>
    <row r="463" s="315" customFormat="1"/>
    <row r="464" s="315" customFormat="1"/>
    <row r="465" s="315" customFormat="1"/>
    <row r="466" s="315" customFormat="1"/>
    <row r="467" s="315" customFormat="1"/>
    <row r="468" s="315" customFormat="1"/>
    <row r="469" s="315" customFormat="1"/>
    <row r="470" s="315" customFormat="1"/>
    <row r="471" s="315" customFormat="1"/>
    <row r="472" s="315" customFormat="1"/>
    <row r="473" s="315" customFormat="1"/>
    <row r="474" s="315" customFormat="1"/>
    <row r="475" s="315" customFormat="1"/>
    <row r="476" s="315" customFormat="1"/>
    <row r="477" s="315" customFormat="1"/>
    <row r="478" s="315" customFormat="1"/>
    <row r="479" s="315" customFormat="1"/>
    <row r="480" s="315" customFormat="1"/>
    <row r="481" s="315" customFormat="1"/>
    <row r="482" s="315" customFormat="1"/>
    <row r="483" s="315" customFormat="1"/>
    <row r="484" s="315" customFormat="1"/>
    <row r="485" s="315" customFormat="1"/>
    <row r="486" s="315" customFormat="1"/>
    <row r="487" s="315" customFormat="1"/>
    <row r="488" s="315" customFormat="1"/>
    <row r="489" s="315" customFormat="1"/>
    <row r="490" s="315" customFormat="1"/>
    <row r="491" s="315" customFormat="1"/>
    <row r="492" s="315" customFormat="1"/>
    <row r="493" s="315" customFormat="1"/>
    <row r="494" s="315" customFormat="1"/>
    <row r="495" s="315" customFormat="1"/>
    <row r="496" s="315" customFormat="1"/>
    <row r="497" s="315" customFormat="1"/>
    <row r="498" s="315" customFormat="1"/>
    <row r="499" s="315" customFormat="1"/>
    <row r="500" s="315" customFormat="1"/>
    <row r="501" s="315" customFormat="1"/>
    <row r="502" s="315" customFormat="1"/>
    <row r="503" s="315" customFormat="1"/>
    <row r="504" s="315" customFormat="1"/>
    <row r="505" s="315" customFormat="1"/>
    <row r="506" s="315" customFormat="1"/>
    <row r="507" s="315" customFormat="1"/>
    <row r="508" s="315" customFormat="1"/>
    <row r="509" s="315" customFormat="1"/>
    <row r="510" s="315" customFormat="1"/>
    <row r="511" s="315" customFormat="1"/>
    <row r="512" s="315" customFormat="1"/>
    <row r="513" s="315" customFormat="1"/>
    <row r="514" s="315" customFormat="1"/>
    <row r="515" s="315" customFormat="1"/>
    <row r="516" s="315" customFormat="1"/>
    <row r="517" s="315" customFormat="1"/>
    <row r="518" s="315" customFormat="1"/>
    <row r="519" s="315" customFormat="1"/>
    <row r="520" s="315" customFormat="1"/>
    <row r="521" s="315" customFormat="1"/>
    <row r="522" s="315" customFormat="1"/>
    <row r="523" s="315" customFormat="1"/>
    <row r="524" s="315" customFormat="1"/>
    <row r="525" s="315" customFormat="1"/>
    <row r="526" s="315" customFormat="1"/>
    <row r="527" s="315" customFormat="1"/>
    <row r="528" s="315" customFormat="1"/>
    <row r="529" s="315" customFormat="1"/>
    <row r="530" s="315" customFormat="1"/>
    <row r="531" s="315" customFormat="1"/>
    <row r="532" s="315" customFormat="1"/>
    <row r="533" s="315" customFormat="1"/>
    <row r="534" s="315" customFormat="1"/>
    <row r="535" s="315" customFormat="1"/>
    <row r="536" s="315" customFormat="1"/>
    <row r="537" s="315" customFormat="1"/>
    <row r="538" s="315" customFormat="1"/>
    <row r="539" s="315" customFormat="1"/>
    <row r="540" s="315" customFormat="1"/>
    <row r="541" s="315" customFormat="1"/>
    <row r="542" s="315" customFormat="1"/>
    <row r="543" s="315" customFormat="1"/>
    <row r="544" s="315" customFormat="1"/>
    <row r="545" s="315" customFormat="1"/>
    <row r="546" s="315" customFormat="1"/>
    <row r="547" s="315" customFormat="1"/>
    <row r="548" s="315" customFormat="1"/>
    <row r="549" s="315" customFormat="1"/>
    <row r="550" s="315" customFormat="1"/>
    <row r="551" s="315" customFormat="1"/>
    <row r="552" s="315" customFormat="1"/>
    <row r="553" s="315" customFormat="1"/>
    <row r="554" s="315" customFormat="1"/>
    <row r="555" s="315" customFormat="1"/>
    <row r="556" s="315" customFormat="1"/>
    <row r="557" s="315" customFormat="1"/>
    <row r="558" s="315" customFormat="1"/>
    <row r="559" s="315" customFormat="1"/>
    <row r="560" s="315" customFormat="1"/>
    <row r="561" s="315" customFormat="1"/>
    <row r="562" s="315" customFormat="1"/>
    <row r="563" s="315" customFormat="1"/>
    <row r="564" s="315" customFormat="1"/>
    <row r="565" s="315" customFormat="1"/>
    <row r="566" s="315" customFormat="1"/>
    <row r="567" s="315" customFormat="1"/>
    <row r="568" s="315" customFormat="1"/>
    <row r="569" s="315" customFormat="1"/>
    <row r="570" s="315" customFormat="1"/>
    <row r="571" s="315" customFormat="1"/>
    <row r="572" s="315" customFormat="1"/>
    <row r="573" s="315" customFormat="1"/>
    <row r="574" s="315" customFormat="1"/>
    <row r="575" s="315" customFormat="1"/>
    <row r="576" s="315" customFormat="1"/>
    <row r="577" s="315" customFormat="1"/>
    <row r="578" s="315" customFormat="1"/>
    <row r="579" s="315" customFormat="1"/>
    <row r="580" s="315" customFormat="1"/>
    <row r="581" s="315" customFormat="1"/>
    <row r="582" s="315" customFormat="1"/>
    <row r="583" s="315" customFormat="1"/>
    <row r="584" s="315" customFormat="1"/>
    <row r="585" s="315" customFormat="1"/>
    <row r="586" s="315" customFormat="1"/>
    <row r="587" s="315" customFormat="1"/>
    <row r="588" s="315" customFormat="1"/>
    <row r="589" s="315" customFormat="1"/>
    <row r="590" s="315" customFormat="1"/>
    <row r="591" s="315" customFormat="1"/>
    <row r="592" s="315" customFormat="1"/>
    <row r="593" s="315" customFormat="1"/>
    <row r="594" s="315" customFormat="1"/>
    <row r="595" s="315" customFormat="1"/>
    <row r="596" s="315" customFormat="1"/>
    <row r="597" s="315" customFormat="1"/>
    <row r="598" s="315" customFormat="1"/>
    <row r="599" s="315" customFormat="1"/>
    <row r="600" s="315" customFormat="1"/>
    <row r="601" s="315" customFormat="1"/>
    <row r="602" s="315" customFormat="1"/>
    <row r="603" s="315" customFormat="1"/>
    <row r="604" s="315" customFormat="1"/>
    <row r="605" s="315" customFormat="1"/>
    <row r="606" s="315" customFormat="1"/>
    <row r="607" s="315" customFormat="1"/>
    <row r="608" s="315" customFormat="1"/>
    <row r="609" s="315" customFormat="1"/>
    <row r="610" s="315" customFormat="1"/>
    <row r="611" s="315" customFormat="1"/>
    <row r="612" s="315" customFormat="1"/>
    <row r="613" s="315" customFormat="1"/>
    <row r="614" s="315" customFormat="1"/>
    <row r="615" s="315" customFormat="1"/>
    <row r="616" s="315" customFormat="1"/>
    <row r="617" s="315" customFormat="1"/>
    <row r="618" s="315" customFormat="1"/>
    <row r="619" s="315" customFormat="1"/>
    <row r="620" s="315" customFormat="1"/>
    <row r="621" s="315" customFormat="1"/>
    <row r="622" s="315" customFormat="1"/>
    <row r="623" s="315" customFormat="1"/>
    <row r="624" s="315" customFormat="1"/>
    <row r="625" s="315" customFormat="1"/>
    <row r="626" s="315" customFormat="1"/>
    <row r="627" s="315" customFormat="1"/>
    <row r="628" s="315" customFormat="1"/>
    <row r="629" s="315" customFormat="1"/>
    <row r="630" s="315" customFormat="1"/>
    <row r="631" s="315" customFormat="1"/>
    <row r="632" s="315" customFormat="1"/>
    <row r="633" s="315" customFormat="1"/>
    <row r="634" s="315" customFormat="1"/>
    <row r="635" s="315" customFormat="1"/>
    <row r="636" s="315" customFormat="1"/>
    <row r="637" s="315" customFormat="1"/>
    <row r="638" s="315" customFormat="1"/>
    <row r="639" s="315" customFormat="1"/>
    <row r="640" s="315" customFormat="1"/>
    <row r="641" s="315" customFormat="1"/>
    <row r="642" s="315" customFormat="1"/>
    <row r="643" s="315" customFormat="1"/>
    <row r="644" s="315" customFormat="1"/>
    <row r="645" s="315" customFormat="1"/>
    <row r="646" s="315" customFormat="1"/>
    <row r="647" s="315" customFormat="1"/>
    <row r="648" s="315" customFormat="1"/>
    <row r="649" s="315" customFormat="1"/>
    <row r="650" s="315" customFormat="1"/>
    <row r="651" s="315" customFormat="1"/>
    <row r="652" s="315" customFormat="1"/>
    <row r="653" s="315" customFormat="1"/>
    <row r="654" s="315" customFormat="1"/>
    <row r="655" s="315" customFormat="1"/>
    <row r="656" s="315" customFormat="1"/>
    <row r="657" s="315" customFormat="1"/>
    <row r="658" s="315" customFormat="1"/>
    <row r="659" s="315" customFormat="1"/>
    <row r="660" s="315" customFormat="1"/>
    <row r="661" s="315" customFormat="1"/>
    <row r="662" s="315" customFormat="1"/>
    <row r="663" s="315" customFormat="1"/>
    <row r="664" s="315" customFormat="1"/>
    <row r="665" s="315" customFormat="1"/>
    <row r="666" s="315" customFormat="1"/>
    <row r="667" s="315" customFormat="1"/>
    <row r="668" s="315" customFormat="1"/>
    <row r="669" s="315" customFormat="1"/>
    <row r="670" s="315" customFormat="1"/>
    <row r="671" s="315" customFormat="1"/>
    <row r="672" s="315" customFormat="1"/>
    <row r="673" s="315" customFormat="1"/>
    <row r="674" s="315" customFormat="1"/>
    <row r="675" s="315" customFormat="1"/>
    <row r="676" s="315" customFormat="1"/>
    <row r="677" s="315" customFormat="1"/>
    <row r="678" s="315" customFormat="1"/>
    <row r="679" s="315" customFormat="1"/>
    <row r="680" s="315" customFormat="1"/>
    <row r="681" s="315" customFormat="1"/>
    <row r="682" s="315" customFormat="1"/>
    <row r="683" s="315" customFormat="1"/>
    <row r="684" s="315" customFormat="1"/>
    <row r="685" s="315" customFormat="1"/>
    <row r="686" s="315" customFormat="1"/>
    <row r="687" s="315" customFormat="1"/>
    <row r="688" s="315" customFormat="1"/>
    <row r="689" s="315" customFormat="1"/>
    <row r="690" s="315" customFormat="1"/>
    <row r="691" s="315" customFormat="1"/>
    <row r="692" s="315" customFormat="1"/>
    <row r="693" s="315" customFormat="1"/>
    <row r="694" s="315" customFormat="1"/>
    <row r="695" s="315" customFormat="1"/>
    <row r="696" s="315" customFormat="1"/>
    <row r="697" s="315" customFormat="1"/>
    <row r="698" s="315" customFormat="1"/>
    <row r="699" s="315" customFormat="1"/>
    <row r="700" s="315" customFormat="1"/>
    <row r="701" s="315" customFormat="1"/>
    <row r="702" s="315" customFormat="1"/>
    <row r="703" s="315" customFormat="1"/>
    <row r="704" s="315" customFormat="1"/>
    <row r="705" s="315" customFormat="1"/>
    <row r="706" s="315" customFormat="1"/>
    <row r="707" s="315" customFormat="1"/>
    <row r="708" s="315" customFormat="1"/>
    <row r="709" s="315" customFormat="1"/>
    <row r="710" s="315" customFormat="1"/>
    <row r="711" s="315" customFormat="1"/>
    <row r="712" s="315" customFormat="1"/>
    <row r="713" s="315" customFormat="1"/>
    <row r="714" s="315" customFormat="1"/>
    <row r="715" s="315" customFormat="1"/>
    <row r="716" s="315" customFormat="1"/>
    <row r="717" s="315" customFormat="1"/>
    <row r="718" s="315" customFormat="1"/>
    <row r="719" s="315" customFormat="1"/>
    <row r="720" s="315" customFormat="1"/>
    <row r="721" s="315" customFormat="1"/>
    <row r="722" s="315" customFormat="1"/>
    <row r="723" s="315" customFormat="1"/>
    <row r="724" s="315" customFormat="1"/>
    <row r="725" s="315" customFormat="1"/>
    <row r="726" s="315" customFormat="1"/>
    <row r="727" s="315" customFormat="1"/>
    <row r="728" s="315" customFormat="1"/>
    <row r="729" s="315" customFormat="1"/>
    <row r="730" s="315" customFormat="1"/>
    <row r="731" s="315" customFormat="1"/>
    <row r="732" s="315" customFormat="1"/>
    <row r="733" s="315" customFormat="1"/>
    <row r="734" s="315" customFormat="1"/>
    <row r="735" s="315" customFormat="1"/>
    <row r="736" s="315" customFormat="1"/>
    <row r="737" s="315" customFormat="1"/>
    <row r="738" s="315" customFormat="1"/>
    <row r="739" s="315" customFormat="1"/>
    <row r="740" s="315" customFormat="1"/>
    <row r="741" s="315" customFormat="1"/>
    <row r="742" s="315" customFormat="1"/>
    <row r="743" s="315" customFormat="1"/>
    <row r="744" s="315" customFormat="1"/>
    <row r="745" s="315" customFormat="1"/>
    <row r="746" s="315" customFormat="1"/>
    <row r="747" s="315" customFormat="1"/>
    <row r="748" s="315" customFormat="1"/>
    <row r="749" s="315" customFormat="1"/>
    <row r="750" s="315" customFormat="1"/>
    <row r="751" s="315" customFormat="1"/>
    <row r="752" s="315" customFormat="1"/>
    <row r="753" s="315" customFormat="1"/>
    <row r="754" s="315" customFormat="1"/>
    <row r="755" s="315" customFormat="1"/>
    <row r="756" s="315" customFormat="1"/>
    <row r="757" s="315" customFormat="1"/>
    <row r="758" s="315" customFormat="1"/>
    <row r="759" s="315" customFormat="1"/>
    <row r="760" s="315" customFormat="1"/>
    <row r="761" s="315" customFormat="1"/>
    <row r="762" s="315" customFormat="1"/>
    <row r="763" s="315" customFormat="1"/>
    <row r="764" s="315" customFormat="1"/>
    <row r="765" s="315" customFormat="1"/>
    <row r="766" s="315" customFormat="1"/>
    <row r="767" s="315" customFormat="1"/>
    <row r="768" s="315" customFormat="1"/>
    <row r="769" s="315" customFormat="1"/>
    <row r="770" s="315" customFormat="1"/>
    <row r="771" s="315" customFormat="1"/>
    <row r="772" s="315" customFormat="1"/>
    <row r="773" s="315" customFormat="1"/>
    <row r="774" s="315" customFormat="1"/>
    <row r="775" s="315" customFormat="1"/>
    <row r="776" s="315" customFormat="1"/>
    <row r="777" s="315" customFormat="1"/>
    <row r="778" s="315" customFormat="1"/>
    <row r="779" s="315" customFormat="1"/>
    <row r="780" s="315" customFormat="1"/>
    <row r="781" s="315" customFormat="1"/>
    <row r="782" s="315" customFormat="1"/>
    <row r="783" s="315" customFormat="1"/>
    <row r="784" s="315" customFormat="1"/>
    <row r="785" s="315" customFormat="1"/>
    <row r="786" s="315" customFormat="1"/>
    <row r="787" s="315" customFormat="1"/>
    <row r="788" s="315" customFormat="1"/>
    <row r="789" s="315" customFormat="1"/>
    <row r="790" s="315" customFormat="1"/>
    <row r="791" s="315" customFormat="1"/>
    <row r="792" s="315" customFormat="1"/>
    <row r="793" s="315" customFormat="1"/>
    <row r="794" s="315" customFormat="1"/>
    <row r="795" s="315" customFormat="1"/>
    <row r="796" s="315" customFormat="1"/>
    <row r="797" s="315" customFormat="1"/>
    <row r="798" s="315" customFormat="1"/>
    <row r="799" s="315" customFormat="1"/>
    <row r="800" s="315" customFormat="1"/>
    <row r="801" s="315" customFormat="1"/>
    <row r="802" s="315" customFormat="1"/>
    <row r="803" s="315" customFormat="1"/>
    <row r="804" s="315" customFormat="1"/>
    <row r="805" s="315" customFormat="1"/>
    <row r="806" s="315" customFormat="1"/>
    <row r="807" s="315" customFormat="1"/>
    <row r="808" s="315" customFormat="1"/>
    <row r="809" s="315" customFormat="1"/>
    <row r="810" s="315" customFormat="1"/>
    <row r="811" s="315" customFormat="1"/>
    <row r="812" s="315" customFormat="1"/>
    <row r="813" s="315" customFormat="1"/>
    <row r="814" s="315" customFormat="1"/>
    <row r="815" s="315" customFormat="1"/>
    <row r="816" s="315" customFormat="1"/>
    <row r="817" s="315" customFormat="1"/>
    <row r="818" s="315" customFormat="1"/>
    <row r="819" s="315" customFormat="1"/>
    <row r="820" s="315" customFormat="1"/>
    <row r="821" s="315" customFormat="1"/>
    <row r="822" s="315" customFormat="1"/>
    <row r="823" s="315" customFormat="1"/>
    <row r="824" s="315" customFormat="1"/>
    <row r="825" s="315" customFormat="1"/>
    <row r="826" s="315" customFormat="1"/>
    <row r="827" s="315" customFormat="1"/>
    <row r="828" s="315" customFormat="1"/>
    <row r="829" s="315" customFormat="1"/>
    <row r="830" s="315" customFormat="1"/>
    <row r="831" s="315" customFormat="1"/>
    <row r="832" s="315" customFormat="1"/>
    <row r="833" s="315" customFormat="1"/>
    <row r="834" s="315" customFormat="1"/>
    <row r="835" s="315" customFormat="1"/>
    <row r="836" s="315" customFormat="1"/>
    <row r="837" s="315" customFormat="1"/>
    <row r="838" s="315" customFormat="1"/>
    <row r="839" s="315" customFormat="1"/>
    <row r="840" s="315" customFormat="1"/>
    <row r="841" s="315" customFormat="1"/>
    <row r="842" s="315" customFormat="1"/>
    <row r="843" s="315" customFormat="1"/>
    <row r="844" s="315" customFormat="1"/>
    <row r="845" s="315" customFormat="1"/>
    <row r="846" s="315" customFormat="1"/>
    <row r="847" s="315" customFormat="1"/>
    <row r="848" s="315" customFormat="1"/>
    <row r="849" s="315" customFormat="1"/>
    <row r="850" s="315" customFormat="1"/>
    <row r="851" s="315" customFormat="1"/>
    <row r="852" s="315" customFormat="1"/>
    <row r="853" s="315" customFormat="1"/>
    <row r="854" s="315" customFormat="1"/>
    <row r="855" s="315" customFormat="1"/>
    <row r="856" s="315" customFormat="1"/>
    <row r="857" s="315" customFormat="1"/>
    <row r="858" s="315" customFormat="1"/>
    <row r="859" s="315" customFormat="1"/>
    <row r="860" s="315" customFormat="1"/>
    <row r="861" s="315" customFormat="1"/>
    <row r="862" s="315" customFormat="1"/>
    <row r="863" s="315" customFormat="1"/>
    <row r="864" s="315" customFormat="1"/>
    <row r="865" s="315" customFormat="1"/>
    <row r="866" s="315" customFormat="1"/>
    <row r="867" s="315" customFormat="1"/>
    <row r="868" s="315" customFormat="1"/>
    <row r="869" s="315" customFormat="1"/>
    <row r="870" s="315" customFormat="1"/>
    <row r="871" s="315" customFormat="1"/>
    <row r="872" s="315" customFormat="1"/>
    <row r="873" s="315" customFormat="1"/>
    <row r="874" s="315" customFormat="1"/>
    <row r="875" s="315" customFormat="1"/>
    <row r="876" s="315" customFormat="1"/>
    <row r="877" s="315" customFormat="1"/>
    <row r="878" s="315" customFormat="1"/>
    <row r="879" s="315" customFormat="1"/>
    <row r="880" s="315" customFormat="1"/>
    <row r="881" s="315" customFormat="1"/>
    <row r="882" s="315" customFormat="1"/>
    <row r="883" s="315" customFormat="1"/>
    <row r="884" s="315" customFormat="1"/>
    <row r="885" s="315" customFormat="1"/>
    <row r="886" s="315" customFormat="1"/>
    <row r="887" s="315" customFormat="1"/>
    <row r="888" s="315" customFormat="1"/>
    <row r="889" s="315" customFormat="1"/>
    <row r="890" s="315" customFormat="1"/>
    <row r="891" s="315" customFormat="1"/>
    <row r="892" s="315" customFormat="1"/>
    <row r="893" s="315" customFormat="1"/>
    <row r="894" s="315" customFormat="1"/>
    <row r="895" s="315" customFormat="1"/>
    <row r="896" s="315" customFormat="1"/>
    <row r="897" s="315" customFormat="1"/>
    <row r="898" s="315" customFormat="1"/>
    <row r="899" s="315" customFormat="1"/>
    <row r="900" s="315" customFormat="1"/>
    <row r="901" s="315" customFormat="1"/>
    <row r="902" s="315" customFormat="1"/>
    <row r="903" s="315" customFormat="1"/>
    <row r="904" s="315" customFormat="1"/>
    <row r="905" s="315" customFormat="1"/>
    <row r="906" s="315" customFormat="1"/>
    <row r="907" s="315" customFormat="1"/>
    <row r="908" s="315" customFormat="1"/>
    <row r="909" s="315" customFormat="1"/>
    <row r="910" s="315" customFormat="1"/>
    <row r="911" s="315" customFormat="1"/>
    <row r="912" s="315" customFormat="1"/>
    <row r="913" s="315" customFormat="1"/>
    <row r="914" s="315" customFormat="1"/>
    <row r="915" s="315" customFormat="1"/>
    <row r="916" s="315" customFormat="1"/>
    <row r="917" s="315" customFormat="1"/>
    <row r="918" s="315" customFormat="1"/>
    <row r="919" s="315" customFormat="1"/>
    <row r="920" s="315" customFormat="1"/>
    <row r="921" s="315" customFormat="1"/>
    <row r="922" s="315" customFormat="1"/>
    <row r="923" s="315" customFormat="1"/>
    <row r="924" s="315" customFormat="1"/>
    <row r="925" s="315" customFormat="1"/>
    <row r="926" s="315" customFormat="1"/>
    <row r="927" s="315" customFormat="1"/>
    <row r="928" s="315" customFormat="1"/>
    <row r="929" s="315" customFormat="1"/>
    <row r="930" s="315" customFormat="1"/>
    <row r="931" s="315" customFormat="1"/>
    <row r="932" s="315" customFormat="1"/>
    <row r="933" s="315" customFormat="1"/>
    <row r="934" s="315" customFormat="1"/>
    <row r="935" s="315" customFormat="1"/>
    <row r="936" s="315" customFormat="1"/>
    <row r="937" s="315" customFormat="1"/>
    <row r="938" s="315" customFormat="1"/>
    <row r="939" s="315" customFormat="1"/>
    <row r="940" s="315" customFormat="1"/>
    <row r="941" s="315" customFormat="1"/>
    <row r="942" s="315" customFormat="1"/>
    <row r="943" s="315" customFormat="1"/>
    <row r="944" s="315" customFormat="1"/>
    <row r="945" s="315" customFormat="1"/>
    <row r="946" s="315" customFormat="1"/>
    <row r="947" s="315" customFormat="1"/>
    <row r="948" s="315" customFormat="1"/>
    <row r="949" s="315" customFormat="1"/>
    <row r="950" s="315" customFormat="1"/>
    <row r="951" s="315" customFormat="1"/>
    <row r="952" s="315" customFormat="1"/>
    <row r="953" s="315" customFormat="1"/>
    <row r="954" s="315" customFormat="1"/>
    <row r="955" s="315" customFormat="1"/>
    <row r="956" s="315" customFormat="1"/>
    <row r="957" s="315" customFormat="1"/>
    <row r="958" s="315" customFormat="1"/>
    <row r="959" s="315" customFormat="1"/>
    <row r="960" s="315" customFormat="1"/>
    <row r="961" s="315" customFormat="1"/>
    <row r="962" s="315" customFormat="1"/>
    <row r="963" s="315" customFormat="1"/>
    <row r="964" s="315" customFormat="1"/>
    <row r="965" s="315" customFormat="1"/>
    <row r="966" s="315" customFormat="1"/>
    <row r="967" s="315" customFormat="1"/>
    <row r="968" s="315" customFormat="1"/>
    <row r="969" s="315" customFormat="1"/>
    <row r="970" s="315" customFormat="1"/>
    <row r="971" s="315" customFormat="1"/>
    <row r="972" s="315" customFormat="1"/>
    <row r="973" s="315" customFormat="1"/>
    <row r="974" s="315" customFormat="1"/>
    <row r="975" s="315" customFormat="1"/>
    <row r="976" s="315" customFormat="1"/>
    <row r="977" s="315" customFormat="1"/>
    <row r="978" s="315" customFormat="1"/>
    <row r="979" s="315" customFormat="1"/>
    <row r="980" s="315" customFormat="1"/>
    <row r="981" s="315" customFormat="1"/>
    <row r="982" s="315" customFormat="1"/>
    <row r="983" s="315" customFormat="1"/>
    <row r="984" s="315" customFormat="1"/>
    <row r="985" s="315" customFormat="1"/>
    <row r="986" s="315" customFormat="1"/>
    <row r="987" s="315" customFormat="1"/>
    <row r="988" s="315" customFormat="1"/>
    <row r="989" s="315" customFormat="1"/>
    <row r="990" s="315" customFormat="1"/>
    <row r="991" s="315" customFormat="1"/>
    <row r="992" s="315" customFormat="1"/>
    <row r="993" s="315" customFormat="1"/>
    <row r="994" s="315" customFormat="1"/>
    <row r="995" s="315" customFormat="1"/>
    <row r="996" s="315" customFormat="1"/>
    <row r="997" s="315" customFormat="1"/>
    <row r="998" s="315" customFormat="1"/>
    <row r="999" s="315" customFormat="1"/>
    <row r="1000" s="315" customFormat="1"/>
    <row r="1001" s="315" customFormat="1"/>
    <row r="1002" s="315" customFormat="1"/>
    <row r="1003" s="315" customFormat="1"/>
    <row r="1004" s="315" customFormat="1"/>
    <row r="1005" s="315" customFormat="1"/>
    <row r="1006" s="315" customFormat="1"/>
    <row r="1007" s="315" customFormat="1"/>
    <row r="1008" s="315" customFormat="1"/>
    <row r="1009" s="315" customFormat="1"/>
    <row r="1010" s="315" customFormat="1"/>
    <row r="1011" s="315" customFormat="1"/>
    <row r="1012" s="315" customFormat="1"/>
    <row r="1013" s="315" customFormat="1"/>
    <row r="1014" s="315" customFormat="1"/>
    <row r="1015" s="315" customFormat="1"/>
    <row r="1016" s="315" customFormat="1"/>
    <row r="1017" s="315" customFormat="1"/>
    <row r="1018" s="315" customFormat="1"/>
    <row r="1019" s="315" customFormat="1"/>
    <row r="1020" s="315" customFormat="1"/>
    <row r="1021" s="315" customFormat="1"/>
    <row r="1022" s="315" customFormat="1"/>
    <row r="1023" s="315" customFormat="1"/>
    <row r="1024" s="315" customFormat="1"/>
    <row r="1025" s="315" customFormat="1"/>
    <row r="1026" s="315" customFormat="1"/>
    <row r="1027" s="315" customFormat="1"/>
    <row r="1028" s="315" customFormat="1"/>
    <row r="1029" s="315" customFormat="1"/>
    <row r="1030" s="315" customFormat="1"/>
    <row r="1031" s="315" customFormat="1"/>
    <row r="1032" s="315" customFormat="1"/>
    <row r="1033" s="315" customFormat="1"/>
    <row r="1034" s="315" customFormat="1"/>
    <row r="1035" s="315" customFormat="1"/>
    <row r="1036" s="315" customFormat="1"/>
    <row r="1037" s="315" customFormat="1"/>
    <row r="1038" s="315" customFormat="1"/>
    <row r="1039" s="315" customFormat="1"/>
    <row r="1040" s="315" customFormat="1"/>
    <row r="1041" s="315" customFormat="1"/>
    <row r="1042" s="315" customFormat="1"/>
    <row r="1043" s="315" customFormat="1"/>
    <row r="1044" s="315" customFormat="1"/>
    <row r="1045" s="315" customFormat="1"/>
    <row r="1046" s="315" customFormat="1"/>
    <row r="1047" s="315" customFormat="1"/>
    <row r="1048" s="315" customFormat="1"/>
    <row r="1049" s="315" customFormat="1"/>
    <row r="1050" s="315" customFormat="1"/>
    <row r="1051" s="315" customFormat="1"/>
    <row r="1052" s="315" customFormat="1"/>
    <row r="1053" s="315" customFormat="1"/>
    <row r="1054" s="315" customFormat="1"/>
    <row r="1055" s="315" customFormat="1"/>
    <row r="1056" s="315" customFormat="1"/>
    <row r="1057" s="315" customFormat="1"/>
    <row r="1058" s="315" customFormat="1"/>
    <row r="1059" s="315" customFormat="1"/>
    <row r="1060" s="315" customFormat="1"/>
    <row r="1061" s="315" customFormat="1"/>
    <row r="1062" s="315" customFormat="1"/>
    <row r="1063" s="315" customFormat="1"/>
    <row r="1064" s="315" customFormat="1"/>
    <row r="1065" s="315" customFormat="1"/>
    <row r="1066" s="315" customFormat="1"/>
    <row r="1067" s="315" customFormat="1"/>
    <row r="1068" s="315" customFormat="1"/>
    <row r="1069" s="315" customFormat="1"/>
    <row r="1070" s="315" customFormat="1"/>
    <row r="1071" s="315" customFormat="1"/>
    <row r="1072" s="315" customFormat="1"/>
    <row r="1073" s="315" customFormat="1"/>
    <row r="1074" s="315" customFormat="1"/>
    <row r="1075" s="315" customFormat="1"/>
    <row r="1076" s="315" customFormat="1"/>
    <row r="1077" s="315" customFormat="1"/>
    <row r="1078" s="315" customFormat="1"/>
    <row r="1079" s="315" customFormat="1"/>
    <row r="1080" s="315" customFormat="1"/>
    <row r="1081" s="315" customFormat="1"/>
    <row r="1082" s="315" customFormat="1"/>
    <row r="1083" s="315" customFormat="1"/>
    <row r="1084" s="315" customFormat="1"/>
    <row r="1085" s="315" customFormat="1"/>
    <row r="1086" s="315" customFormat="1"/>
    <row r="1087" s="315" customFormat="1"/>
    <row r="1088" s="315" customFormat="1"/>
    <row r="1089" s="315" customFormat="1"/>
    <row r="1090" s="315" customFormat="1"/>
    <row r="1091" s="315" customFormat="1"/>
    <row r="1092" s="315" customFormat="1"/>
    <row r="1093" s="315" customFormat="1"/>
    <row r="1094" s="315" customFormat="1"/>
    <row r="1095" s="315" customFormat="1"/>
    <row r="1096" s="315" customFormat="1"/>
    <row r="1097" s="315" customFormat="1"/>
    <row r="1098" s="315" customFormat="1"/>
    <row r="1099" s="315" customFormat="1"/>
    <row r="1100" s="315" customFormat="1"/>
    <row r="1101" s="315" customFormat="1"/>
    <row r="1102" s="315" customFormat="1"/>
    <row r="1103" s="315" customFormat="1"/>
    <row r="1104" s="315" customFormat="1"/>
    <row r="1105" s="315" customFormat="1"/>
    <row r="1106" s="315" customFormat="1"/>
    <row r="1107" s="315" customFormat="1"/>
    <row r="1108" s="315" customFormat="1"/>
    <row r="1109" s="315" customFormat="1"/>
    <row r="1110" s="315" customFormat="1"/>
    <row r="1111" s="315" customFormat="1"/>
    <row r="1112" s="315" customFormat="1"/>
    <row r="1113" s="315" customFormat="1"/>
    <row r="1114" s="315" customFormat="1"/>
    <row r="1115" s="315" customFormat="1"/>
    <row r="1116" s="315" customFormat="1"/>
    <row r="1117" s="315" customFormat="1"/>
    <row r="1118" s="315" customFormat="1"/>
    <row r="1119" s="315" customFormat="1"/>
    <row r="1120" s="315" customFormat="1"/>
    <row r="1121" s="315" customFormat="1"/>
    <row r="1122" s="315" customFormat="1"/>
    <row r="1123" s="315" customFormat="1"/>
    <row r="1124" s="315" customFormat="1"/>
    <row r="1125" s="315" customFormat="1"/>
    <row r="1126" s="315" customFormat="1"/>
    <row r="1127" s="315" customFormat="1"/>
    <row r="1128" s="315" customFormat="1"/>
    <row r="1129" s="315" customFormat="1"/>
    <row r="1130" s="315" customFormat="1"/>
    <row r="1131" s="315" customFormat="1"/>
    <row r="1132" s="315" customFormat="1"/>
    <row r="1133" s="315" customFormat="1"/>
    <row r="1134" s="315" customFormat="1"/>
    <row r="1135" s="315" customFormat="1"/>
    <row r="1136" s="315" customFormat="1"/>
    <row r="1137" s="315" customFormat="1"/>
    <row r="1138" s="315" customFormat="1"/>
    <row r="1139" s="315" customFormat="1"/>
    <row r="1140" s="315" customFormat="1"/>
    <row r="1141" s="315" customFormat="1"/>
    <row r="1142" s="315" customFormat="1"/>
    <row r="1143" s="315" customFormat="1"/>
    <row r="1144" s="315" customFormat="1"/>
    <row r="1145" s="315" customFormat="1"/>
    <row r="1146" s="315" customFormat="1"/>
    <row r="1147" s="315" customFormat="1"/>
    <row r="1148" s="315" customFormat="1"/>
    <row r="1149" s="315" customFormat="1"/>
    <row r="1150" s="315" customFormat="1"/>
    <row r="1151" s="315" customFormat="1"/>
    <row r="1152" s="315" customFormat="1"/>
    <row r="1153" s="315" customFormat="1"/>
    <row r="1154" s="315" customFormat="1"/>
    <row r="1155" s="315" customFormat="1"/>
    <row r="1156" s="315" customFormat="1"/>
    <row r="1157" s="315" customFormat="1"/>
    <row r="1158" s="315" customFormat="1"/>
    <row r="1159" s="315" customFormat="1"/>
    <row r="1160" s="315" customFormat="1"/>
    <row r="1161" s="315" customFormat="1"/>
    <row r="1162" s="315" customFormat="1"/>
    <row r="1163" s="315" customFormat="1"/>
    <row r="1164" s="315" customFormat="1"/>
    <row r="1165" s="315" customFormat="1"/>
    <row r="1166" s="315" customFormat="1"/>
    <row r="1167" s="315" customFormat="1"/>
    <row r="1168" s="315" customFormat="1"/>
    <row r="1169" s="315" customFormat="1"/>
    <row r="1170" s="315" customFormat="1"/>
    <row r="1171" s="315" customFormat="1"/>
    <row r="1172" s="315" customFormat="1"/>
    <row r="1173" s="315" customFormat="1"/>
    <row r="1174" s="315" customFormat="1"/>
    <row r="1175" s="315" customFormat="1"/>
    <row r="1176" s="315" customFormat="1"/>
    <row r="1177" s="315" customFormat="1"/>
    <row r="1178" s="315" customFormat="1"/>
    <row r="1179" s="315" customFormat="1"/>
    <row r="1180" s="315" customFormat="1"/>
    <row r="1181" s="315" customFormat="1"/>
    <row r="1182" s="315" customFormat="1"/>
    <row r="1183" s="315" customFormat="1"/>
    <row r="1184" s="315" customFormat="1"/>
    <row r="1185" s="315" customFormat="1"/>
    <row r="1186" s="315" customFormat="1"/>
  </sheetData>
  <hyperlinks>
    <hyperlink ref="B6" location="'Anleitung für Beschaffende'!Druckbereich" display="- Anleitung für Beschaffende " xr:uid="{61F961C6-102E-40D6-AFA0-571F07211DCB}"/>
    <hyperlink ref="B7" location="'Anleitung für Bietende'!Druckbereich" display="- Anleitung für Bietende" xr:uid="{94C3CBC1-6116-407A-BC16-60E723E1FEC0}"/>
    <hyperlink ref="D6" location="'Punktevergabe Übersicht'!Druckbereich" display="- Punktevergabe Übersicht" xr:uid="{D7FD01EE-049A-4661-94DB-B57FE8400BC4}"/>
    <hyperlink ref="D7" location="'Punktevergabe Details'!Druckbereich" display="- Punktevergabe Details" xr:uid="{F4EC257C-E927-4D32-85DB-55B135EE004A}"/>
    <hyperlink ref="D10" location="Einmalkosten!Druckbereich" display="- Einmalkosten" xr:uid="{FC4DA5D9-59B3-47D8-92BF-BFEA32A7578B}"/>
    <hyperlink ref="D11" location="'Transport+Installationskosten'!Druckbereich" display="- Transport- und Installationskosten" xr:uid="{F668F3B9-AF09-437B-B4C2-B72CDB9EFF01}"/>
    <hyperlink ref="D12" location="'Laufende Kosten'!Druckbereich" display="- Laufende Kosten" xr:uid="{7A96B887-3F98-4738-AD93-B78AB8AB79C9}"/>
    <hyperlink ref="D13" location="Investitionsrechnung!Druckbereich" display="- Investitionsrechnung" xr:uid="{9FF8F5B1-EA5C-484C-B245-A1FE2BA319AC}"/>
    <hyperlink ref="F16" location="Impressum!Druckbereich" display="Impressum" xr:uid="{A8812F63-DD9E-4C5B-A752-BB726C4B45C8}"/>
    <hyperlink ref="D16" location="'THG-Emissionen mit Zertifikat'!Druckbereich" display="- THG-Emissionen mit Zertifikat" xr:uid="{7056D89A-AFC8-4624-B181-796EAC823DB2}"/>
    <hyperlink ref="D17" location="'THG-Emissionen ohne Zertifikat'!Druckbereich" display="- THG-Emissionen ohne Zertifikat" xr:uid="{01257537-E945-41BA-9821-829F06906F40}"/>
    <hyperlink ref="D20" location="'Ergebnis LCC inkl. CO2-Kosten'!Druckbereich" display="- Ergebnis LCC inklusive CO2-Kosten; oder" xr:uid="{2DB4CBC3-CE6A-4F16-A1EB-19152860968A}"/>
    <hyperlink ref="D21" location="'Ergebnis LCC ohne CO2-Kosten'!Druckbereich" display="- Ergebnis LCC ohne CO2-Kosten" xr:uid="{1C814CA5-1870-463D-9CF4-8E5F21DC687B}"/>
    <hyperlink ref="F6" location="Produktion!A1" display="- Produktion" xr:uid="{6F7CEE41-EFB4-4213-B5CA-6635620D11F2}"/>
    <hyperlink ref="F7" location="'Transport + Installation'!A1" display="- Transport + Installation" xr:uid="{B45E86F0-BAD6-46C4-819A-F2C5700D0877}"/>
    <hyperlink ref="F8" location="Nutzung!A1" display="- Nutzung" xr:uid="{1A1D582E-2E82-4BA6-8854-C88459560FDF}"/>
    <hyperlink ref="F11" location="Emissionsfaktoren_Stoffe!A1" display="- Emissionsfaktoren Stoffe" xr:uid="{3D37C87A-60D4-49AE-BD57-F0D0625E81FE}"/>
    <hyperlink ref="F12" location="Emissionsfaktoren_Prozesse!A1" display="- Emissionsfaktoren Prozesse" xr:uid="{671C3222-2818-47C1-A564-9B533FB54DE2}"/>
    <hyperlink ref="F13" location="Emissionsfaktoren_Lebenszyklus!A1" display="- Emissionsfaktoren Lebenszyklus" xr:uid="{7EFF2F7D-9DF2-4E5B-89F3-E8CF230677FA}"/>
  </hyperlinks>
  <pageMargins left="0.70866141732283472" right="0.70866141732283472" top="0.78740157480314965" bottom="0.78740157480314965" header="0.31496062992125984" footer="0.31496062992125984"/>
  <pageSetup paperSize="9" scale="88" orientation="landscape" r:id="rId1"/>
  <headerFooter>
    <oddHeader>&amp;C&amp;14&amp;KFF0000TESTVERSION!</oddHeader>
    <oddFooter>&amp;L&amp;8LCC-CO2-Tool - Arbeitshilfe des Umweltbundesamtes&amp;C&amp;8Aufbau und Farbschema des Tools&amp;R&amp;8&amp;P</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348B-C228-4785-BDCB-1B29C1F44C88}">
  <sheetPr codeName="Tabelle8">
    <tabColor rgb="FF88DEFF"/>
    <pageSetUpPr fitToPage="1"/>
  </sheetPr>
  <dimension ref="A1:AL1068"/>
  <sheetViews>
    <sheetView showGridLines="0" topLeftCell="A2" zoomScale="90" zoomScaleNormal="90" workbookViewId="0">
      <selection activeCell="F4" sqref="F4"/>
    </sheetView>
  </sheetViews>
  <sheetFormatPr baseColWidth="10" defaultColWidth="11.08203125" defaultRowHeight="14.5"/>
  <cols>
    <col min="1" max="1" width="2.08203125" style="75" customWidth="1"/>
    <col min="2" max="2" width="3.58203125" style="80" customWidth="1"/>
    <col min="3" max="3" width="73.5" style="79" customWidth="1"/>
    <col min="4" max="4" width="17.25" style="79" customWidth="1"/>
    <col min="5" max="5" width="11.08203125" style="79"/>
    <col min="6" max="6" width="84.75" style="79" customWidth="1"/>
    <col min="7" max="7" width="2.08203125" style="55" customWidth="1"/>
    <col min="8" max="38" width="11.08203125" style="55"/>
    <col min="39" max="16384" width="11.08203125" style="79"/>
  </cols>
  <sheetData>
    <row r="1" spans="1:38" s="75" customFormat="1">
      <c r="A1" s="471"/>
      <c r="B1" s="471"/>
      <c r="C1" s="471"/>
      <c r="D1" s="471"/>
      <c r="E1" s="471"/>
      <c r="F1" s="471"/>
      <c r="G1" s="471"/>
    </row>
    <row r="2" spans="1:38" s="54" customFormat="1" ht="55.15" customHeight="1">
      <c r="A2" s="471"/>
      <c r="B2" s="75"/>
      <c r="C2" s="290" t="s">
        <v>224</v>
      </c>
      <c r="D2" s="290"/>
      <c r="E2" s="996" t="s">
        <v>1886</v>
      </c>
      <c r="F2" s="290"/>
      <c r="G2" s="500"/>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row>
    <row r="3" spans="1:38" s="54" customFormat="1" ht="30" customHeight="1">
      <c r="A3" s="471"/>
      <c r="B3" s="75"/>
      <c r="C3" s="358" t="s">
        <v>92</v>
      </c>
      <c r="D3" s="290"/>
      <c r="E3" s="996" t="s">
        <v>1887</v>
      </c>
      <c r="F3" s="290"/>
      <c r="G3" s="500"/>
      <c r="I3" s="499"/>
      <c r="J3" s="499"/>
      <c r="K3" s="499"/>
      <c r="L3" s="499"/>
      <c r="M3" s="499"/>
      <c r="N3" s="499"/>
      <c r="O3" s="499"/>
      <c r="P3" s="499"/>
      <c r="Q3" s="499"/>
      <c r="R3" s="499"/>
      <c r="S3" s="499"/>
      <c r="T3" s="499"/>
      <c r="U3" s="499"/>
      <c r="V3" s="499"/>
      <c r="W3" s="499"/>
      <c r="X3" s="499"/>
      <c r="Y3" s="499"/>
      <c r="Z3" s="499"/>
      <c r="AA3" s="499"/>
      <c r="AB3" s="499"/>
      <c r="AC3" s="499"/>
      <c r="AD3" s="499"/>
      <c r="AE3" s="499"/>
      <c r="AF3" s="499"/>
      <c r="AG3" s="499"/>
      <c r="AH3" s="499"/>
      <c r="AI3" s="499"/>
      <c r="AJ3" s="499"/>
      <c r="AK3" s="499"/>
      <c r="AL3" s="499"/>
    </row>
    <row r="4" spans="1:38" s="54" customFormat="1" ht="14.5" customHeight="1">
      <c r="A4" s="471"/>
      <c r="B4" s="75"/>
      <c r="C4" s="403" t="s">
        <v>225</v>
      </c>
      <c r="D4" s="290"/>
      <c r="E4" s="996" t="s">
        <v>1888</v>
      </c>
      <c r="F4" s="290"/>
      <c r="G4" s="500"/>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499"/>
      <c r="AL4" s="499"/>
    </row>
    <row r="5" spans="1:38" s="54" customFormat="1" ht="14.5" customHeight="1">
      <c r="A5" s="471"/>
      <c r="B5" s="75"/>
      <c r="C5" s="290"/>
      <c r="D5" s="290"/>
      <c r="E5" s="290"/>
      <c r="F5" s="290"/>
      <c r="G5" s="500"/>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499"/>
      <c r="AJ5" s="499"/>
      <c r="AK5" s="499"/>
      <c r="AL5" s="499"/>
    </row>
    <row r="6" spans="1:38" s="53" customFormat="1" ht="18.649999999999999" customHeight="1">
      <c r="A6" s="471"/>
      <c r="B6" s="75"/>
      <c r="C6" s="585" t="s">
        <v>226</v>
      </c>
      <c r="D6" s="583" t="s">
        <v>227</v>
      </c>
      <c r="E6" s="584" t="s">
        <v>228</v>
      </c>
      <c r="F6" s="583" t="s">
        <v>229</v>
      </c>
      <c r="G6" s="500"/>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499"/>
      <c r="AJ6" s="499"/>
      <c r="AK6" s="499"/>
      <c r="AL6" s="499"/>
    </row>
    <row r="7" spans="1:38" s="53" customFormat="1" ht="29">
      <c r="A7" s="471"/>
      <c r="B7" s="75"/>
      <c r="C7" s="581" t="s">
        <v>1310</v>
      </c>
      <c r="D7" s="579">
        <v>0.03</v>
      </c>
      <c r="E7" s="574" t="s">
        <v>230</v>
      </c>
      <c r="F7" s="501" t="s">
        <v>231</v>
      </c>
      <c r="G7" s="500"/>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499"/>
      <c r="AJ7" s="499"/>
      <c r="AK7" s="499"/>
      <c r="AL7" s="499"/>
    </row>
    <row r="8" spans="1:38" s="53" customFormat="1">
      <c r="A8" s="471"/>
      <c r="B8" s="75"/>
      <c r="C8" s="582" t="s">
        <v>232</v>
      </c>
      <c r="D8" s="580">
        <v>0.01</v>
      </c>
      <c r="E8" s="574" t="s">
        <v>230</v>
      </c>
      <c r="F8" s="28"/>
      <c r="G8" s="500"/>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499"/>
      <c r="AI8" s="499"/>
      <c r="AJ8" s="499"/>
      <c r="AK8" s="499"/>
      <c r="AL8" s="499"/>
    </row>
    <row r="9" spans="1:38" s="53" customFormat="1">
      <c r="A9" s="471"/>
      <c r="B9" s="75"/>
      <c r="C9" s="577" t="s">
        <v>1935</v>
      </c>
      <c r="D9" s="141">
        <f>D8-D7</f>
        <v>-1.9999999999999997E-2</v>
      </c>
      <c r="E9" s="574" t="s">
        <v>230</v>
      </c>
      <c r="F9" s="76"/>
      <c r="G9" s="500"/>
      <c r="H9" s="499"/>
      <c r="I9" s="499"/>
      <c r="J9" s="499"/>
      <c r="K9" s="499"/>
      <c r="L9" s="499"/>
      <c r="M9" s="499"/>
      <c r="N9" s="499"/>
      <c r="O9" s="499"/>
      <c r="P9" s="499"/>
      <c r="Q9" s="499"/>
      <c r="R9" s="499"/>
      <c r="S9" s="499"/>
      <c r="T9" s="499"/>
      <c r="U9" s="499"/>
      <c r="V9" s="499"/>
      <c r="W9" s="499"/>
      <c r="X9" s="499"/>
      <c r="Y9" s="499"/>
      <c r="Z9" s="499"/>
      <c r="AA9" s="499"/>
      <c r="AB9" s="499"/>
      <c r="AC9" s="499"/>
      <c r="AD9" s="499"/>
      <c r="AE9" s="499"/>
      <c r="AF9" s="499"/>
      <c r="AG9" s="499"/>
      <c r="AH9" s="499"/>
      <c r="AI9" s="499"/>
      <c r="AJ9" s="499"/>
      <c r="AK9" s="499"/>
      <c r="AL9" s="499"/>
    </row>
    <row r="10" spans="1:38" s="53" customFormat="1">
      <c r="A10" s="471"/>
      <c r="B10" s="75"/>
      <c r="C10" s="578" t="s">
        <v>1918</v>
      </c>
      <c r="D10" s="142">
        <f>Nutzung!C8</f>
        <v>10</v>
      </c>
      <c r="E10" s="791" t="str">
        <f>Nutzung!D8</f>
        <v xml:space="preserve">Jahr(e) </v>
      </c>
      <c r="F10" s="502"/>
      <c r="G10" s="500"/>
      <c r="H10" s="499"/>
      <c r="I10" s="499"/>
      <c r="J10" s="499"/>
      <c r="K10" s="499"/>
      <c r="L10" s="499"/>
      <c r="M10" s="499"/>
      <c r="N10" s="499"/>
      <c r="O10" s="499"/>
      <c r="P10" s="499"/>
      <c r="Q10" s="499"/>
      <c r="R10" s="499"/>
      <c r="S10" s="499"/>
      <c r="T10" s="499"/>
      <c r="U10" s="499"/>
      <c r="V10" s="499"/>
      <c r="W10" s="499"/>
      <c r="X10" s="499"/>
      <c r="Y10" s="499"/>
      <c r="Z10" s="499"/>
      <c r="AA10" s="499"/>
      <c r="AB10" s="499"/>
      <c r="AC10" s="499"/>
      <c r="AD10" s="499"/>
      <c r="AE10" s="499"/>
      <c r="AF10" s="499"/>
      <c r="AG10" s="499"/>
      <c r="AH10" s="499"/>
      <c r="AI10" s="499"/>
      <c r="AJ10" s="499"/>
      <c r="AK10" s="499"/>
      <c r="AL10" s="499"/>
    </row>
    <row r="11" spans="1:38" s="53" customFormat="1">
      <c r="A11" s="471"/>
      <c r="B11" s="75"/>
      <c r="C11" s="569"/>
      <c r="D11" s="570"/>
      <c r="E11" s="567"/>
      <c r="F11" s="568"/>
      <c r="G11" s="500"/>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99"/>
      <c r="AF11" s="499"/>
      <c r="AG11" s="499"/>
      <c r="AH11" s="499"/>
      <c r="AI11" s="499"/>
      <c r="AJ11" s="499"/>
      <c r="AK11" s="499"/>
      <c r="AL11" s="499"/>
    </row>
    <row r="12" spans="1:38" s="54" customFormat="1">
      <c r="A12" s="471"/>
      <c r="B12" s="75"/>
      <c r="C12" s="596" t="s">
        <v>1920</v>
      </c>
      <c r="D12" s="503"/>
      <c r="E12" s="503"/>
      <c r="F12" s="503"/>
      <c r="G12" s="500"/>
      <c r="H12" s="499"/>
      <c r="I12" s="499"/>
      <c r="J12" s="499"/>
      <c r="K12" s="499"/>
      <c r="L12" s="499"/>
      <c r="M12" s="499"/>
      <c r="N12" s="499"/>
      <c r="O12" s="499"/>
      <c r="P12" s="499"/>
      <c r="Q12" s="499"/>
      <c r="R12" s="499"/>
      <c r="S12" s="499"/>
      <c r="T12" s="499"/>
      <c r="U12" s="499"/>
      <c r="V12" s="499"/>
      <c r="W12" s="499"/>
      <c r="X12" s="499"/>
      <c r="Y12" s="499"/>
      <c r="Z12" s="499"/>
      <c r="AA12" s="499"/>
      <c r="AB12" s="499"/>
      <c r="AC12" s="499"/>
      <c r="AD12" s="499"/>
      <c r="AE12" s="499"/>
      <c r="AF12" s="499"/>
      <c r="AG12" s="499"/>
      <c r="AH12" s="499"/>
      <c r="AI12" s="499"/>
      <c r="AJ12" s="499"/>
      <c r="AK12" s="499"/>
      <c r="AL12" s="499"/>
    </row>
    <row r="13" spans="1:38" s="352" customFormat="1" ht="43.5">
      <c r="A13" s="504"/>
      <c r="B13" s="350"/>
      <c r="C13" s="792" t="s">
        <v>1919</v>
      </c>
      <c r="D13" s="793">
        <f>PV(D9,D10,-'Laufende Kosten'!H9)</f>
        <v>689.1788951687937</v>
      </c>
      <c r="E13" s="351"/>
      <c r="F13" s="576" t="s">
        <v>1319</v>
      </c>
      <c r="G13" s="505"/>
      <c r="H13" s="506"/>
      <c r="I13" s="506"/>
      <c r="J13" s="506"/>
      <c r="K13" s="506"/>
      <c r="L13" s="506"/>
      <c r="M13" s="506"/>
      <c r="N13" s="506"/>
      <c r="O13" s="506"/>
      <c r="P13" s="506"/>
      <c r="Q13" s="506"/>
      <c r="R13" s="506"/>
      <c r="S13" s="506"/>
      <c r="T13" s="506"/>
      <c r="U13" s="506"/>
      <c r="V13" s="506"/>
      <c r="W13" s="506"/>
      <c r="X13" s="506"/>
      <c r="Y13" s="506"/>
      <c r="Z13" s="506"/>
      <c r="AA13" s="506"/>
      <c r="AB13" s="506"/>
      <c r="AC13" s="506"/>
      <c r="AD13" s="506"/>
      <c r="AE13" s="506"/>
      <c r="AF13" s="506"/>
      <c r="AG13" s="506"/>
      <c r="AH13" s="506"/>
      <c r="AI13" s="506"/>
      <c r="AJ13" s="506"/>
      <c r="AK13" s="506"/>
      <c r="AL13" s="506"/>
    </row>
    <row r="14" spans="1:38" s="53" customFormat="1" ht="14.5" customHeight="1">
      <c r="A14" s="471"/>
      <c r="B14" s="75"/>
      <c r="C14" s="571" t="s">
        <v>1307</v>
      </c>
      <c r="D14" s="627">
        <f>PV(D9,D10,-'Laufende Kosten'!H12)</f>
        <v>115.9312310485745</v>
      </c>
      <c r="E14" s="77"/>
      <c r="F14" s="503"/>
      <c r="G14" s="500"/>
      <c r="H14" s="499"/>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499"/>
      <c r="AJ14" s="499"/>
      <c r="AK14" s="499"/>
      <c r="AL14" s="499"/>
    </row>
    <row r="15" spans="1:38" s="53" customFormat="1" ht="14.5" customHeight="1">
      <c r="A15" s="471"/>
      <c r="B15" s="75"/>
      <c r="C15" s="572" t="s">
        <v>1308</v>
      </c>
      <c r="D15" s="627">
        <f>PV(D9,D10,-'Laufende Kosten'!H48)</f>
        <v>0</v>
      </c>
      <c r="E15" s="77"/>
      <c r="F15" s="503"/>
      <c r="G15" s="500"/>
      <c r="H15" s="499"/>
      <c r="I15" s="499"/>
      <c r="J15" s="499"/>
      <c r="K15" s="499"/>
      <c r="L15" s="499"/>
      <c r="M15" s="499"/>
      <c r="N15" s="499"/>
      <c r="O15" s="499"/>
      <c r="P15" s="499"/>
      <c r="Q15" s="499"/>
      <c r="R15" s="499"/>
      <c r="S15" s="499"/>
      <c r="T15" s="499"/>
      <c r="U15" s="499"/>
      <c r="V15" s="499"/>
      <c r="W15" s="499"/>
      <c r="X15" s="499"/>
      <c r="Y15" s="499"/>
      <c r="Z15" s="499"/>
      <c r="AA15" s="499"/>
      <c r="AB15" s="499"/>
      <c r="AC15" s="499"/>
      <c r="AD15" s="499"/>
      <c r="AE15" s="499"/>
      <c r="AF15" s="499"/>
      <c r="AG15" s="499"/>
      <c r="AH15" s="499"/>
      <c r="AI15" s="499"/>
      <c r="AJ15" s="499"/>
      <c r="AK15" s="499"/>
      <c r="AL15" s="499"/>
    </row>
    <row r="16" spans="1:38" s="53" customFormat="1" ht="14.5" customHeight="1">
      <c r="A16" s="471"/>
      <c r="B16" s="75"/>
      <c r="C16" s="572" t="s">
        <v>1309</v>
      </c>
      <c r="D16" s="627">
        <f>PV(D9,D10,-'Laufende Kosten'!H63)</f>
        <v>573.24766412021916</v>
      </c>
      <c r="E16" s="77"/>
      <c r="F16" s="503"/>
      <c r="G16" s="500"/>
      <c r="H16" s="499"/>
      <c r="I16" s="499"/>
      <c r="J16" s="499"/>
      <c r="K16" s="499"/>
      <c r="L16" s="499"/>
      <c r="M16" s="499"/>
      <c r="N16" s="499"/>
      <c r="O16" s="499"/>
      <c r="P16" s="499"/>
      <c r="Q16" s="499"/>
      <c r="R16" s="499"/>
      <c r="S16" s="499"/>
      <c r="T16" s="499"/>
      <c r="U16" s="499"/>
      <c r="V16" s="499"/>
      <c r="W16" s="499"/>
      <c r="X16" s="499"/>
      <c r="Y16" s="499"/>
      <c r="Z16" s="499"/>
      <c r="AA16" s="499"/>
      <c r="AB16" s="499"/>
      <c r="AC16" s="499"/>
      <c r="AD16" s="499"/>
      <c r="AE16" s="499"/>
      <c r="AF16" s="499"/>
      <c r="AG16" s="499"/>
      <c r="AH16" s="499"/>
      <c r="AI16" s="499"/>
      <c r="AJ16" s="499"/>
      <c r="AK16" s="499"/>
      <c r="AL16" s="499"/>
    </row>
    <row r="17" spans="1:38" s="53" customFormat="1" ht="22.9" customHeight="1" thickBot="1">
      <c r="A17" s="471"/>
      <c r="B17" s="75"/>
      <c r="C17" s="586" t="s">
        <v>1311</v>
      </c>
      <c r="D17" s="794">
        <f>SUM(D14:D16)</f>
        <v>689.1788951687937</v>
      </c>
      <c r="E17" s="78"/>
      <c r="F17" s="502"/>
      <c r="G17" s="500"/>
      <c r="H17" s="499"/>
      <c r="I17" s="499"/>
      <c r="J17" s="499"/>
      <c r="K17" s="499"/>
      <c r="L17" s="499"/>
      <c r="M17" s="499"/>
      <c r="N17" s="499"/>
      <c r="O17" s="499"/>
      <c r="P17" s="499"/>
      <c r="Q17" s="499"/>
      <c r="R17" s="499"/>
      <c r="S17" s="499"/>
      <c r="T17" s="499"/>
      <c r="U17" s="499"/>
      <c r="V17" s="499"/>
      <c r="W17" s="499"/>
      <c r="X17" s="499"/>
      <c r="Y17" s="499"/>
      <c r="Z17" s="499"/>
      <c r="AA17" s="499"/>
      <c r="AB17" s="499"/>
      <c r="AC17" s="499"/>
      <c r="AD17" s="499"/>
      <c r="AE17" s="499"/>
      <c r="AF17" s="499"/>
      <c r="AG17" s="499"/>
      <c r="AH17" s="499"/>
      <c r="AI17" s="499"/>
      <c r="AJ17" s="499"/>
      <c r="AK17" s="499"/>
      <c r="AL17" s="499"/>
    </row>
    <row r="18" spans="1:38" s="53" customFormat="1" ht="15" thickTop="1">
      <c r="A18" s="471"/>
      <c r="B18" s="75"/>
      <c r="C18" s="573" t="s">
        <v>1312</v>
      </c>
      <c r="D18" s="620">
        <f>D10*'Laufende Kosten'!H9</f>
        <v>615.66498095999998</v>
      </c>
      <c r="E18" s="503"/>
      <c r="F18" s="503"/>
      <c r="G18" s="500"/>
      <c r="H18" s="499"/>
      <c r="I18" s="499"/>
      <c r="J18" s="499"/>
      <c r="K18" s="499"/>
      <c r="L18" s="499"/>
      <c r="M18" s="499"/>
      <c r="N18" s="499"/>
      <c r="O18" s="499"/>
      <c r="P18" s="499"/>
      <c r="Q18" s="499"/>
      <c r="R18" s="499"/>
      <c r="S18" s="499"/>
      <c r="T18" s="499"/>
      <c r="U18" s="499"/>
      <c r="V18" s="499"/>
      <c r="W18" s="499"/>
      <c r="X18" s="499"/>
      <c r="Y18" s="499"/>
      <c r="Z18" s="499"/>
      <c r="AA18" s="499"/>
      <c r="AB18" s="499"/>
      <c r="AC18" s="499"/>
      <c r="AD18" s="499"/>
      <c r="AE18" s="499"/>
      <c r="AF18" s="499"/>
      <c r="AG18" s="499"/>
      <c r="AH18" s="499"/>
      <c r="AI18" s="499"/>
      <c r="AJ18" s="499"/>
      <c r="AK18" s="499"/>
      <c r="AL18" s="499"/>
    </row>
    <row r="19" spans="1:38" s="53" customFormat="1">
      <c r="A19" s="471"/>
      <c r="B19" s="75"/>
      <c r="C19" s="508"/>
      <c r="D19" s="509"/>
      <c r="E19" s="503"/>
      <c r="F19" s="503"/>
      <c r="G19" s="500"/>
      <c r="H19" s="499"/>
      <c r="I19" s="499"/>
      <c r="J19" s="499"/>
      <c r="K19" s="499"/>
      <c r="L19" s="499"/>
      <c r="M19" s="499"/>
      <c r="N19" s="499"/>
      <c r="O19" s="499"/>
      <c r="P19" s="499"/>
      <c r="Q19" s="499"/>
      <c r="R19" s="499"/>
      <c r="S19" s="499"/>
      <c r="T19" s="499"/>
      <c r="U19" s="499"/>
      <c r="V19" s="499"/>
      <c r="W19" s="499"/>
      <c r="X19" s="499"/>
      <c r="Y19" s="499"/>
      <c r="Z19" s="499"/>
      <c r="AA19" s="499"/>
      <c r="AB19" s="499"/>
      <c r="AC19" s="499"/>
      <c r="AD19" s="499"/>
      <c r="AE19" s="499"/>
      <c r="AF19" s="499"/>
      <c r="AG19" s="499"/>
      <c r="AH19" s="499"/>
      <c r="AI19" s="499"/>
      <c r="AJ19" s="499"/>
      <c r="AK19" s="499"/>
      <c r="AL19" s="499"/>
    </row>
    <row r="20" spans="1:38" s="55" customFormat="1">
      <c r="A20" s="471"/>
      <c r="B20" s="471"/>
      <c r="C20" s="471"/>
      <c r="D20" s="471"/>
      <c r="E20" s="471"/>
      <c r="F20" s="471"/>
      <c r="G20" s="471"/>
      <c r="H20" s="358"/>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row>
    <row r="21" spans="1:38">
      <c r="B21" s="75"/>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row>
    <row r="22" spans="1:38" s="55" customFormat="1">
      <c r="A22" s="75"/>
      <c r="B22" s="75"/>
      <c r="C22" s="358"/>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8"/>
      <c r="AL22" s="358"/>
    </row>
    <row r="23" spans="1:38" s="55" customFormat="1">
      <c r="A23" s="75"/>
      <c r="B23" s="75"/>
    </row>
    <row r="24" spans="1:38" s="55" customFormat="1">
      <c r="A24" s="75"/>
      <c r="B24" s="75"/>
    </row>
    <row r="25" spans="1:38" s="55" customFormat="1">
      <c r="A25" s="75"/>
      <c r="B25" s="75"/>
    </row>
    <row r="26" spans="1:38" s="55" customFormat="1">
      <c r="A26" s="75"/>
      <c r="B26" s="75"/>
    </row>
    <row r="27" spans="1:38" s="55" customFormat="1">
      <c r="A27" s="75"/>
      <c r="B27" s="75"/>
    </row>
    <row r="28" spans="1:38" s="55" customFormat="1">
      <c r="A28" s="75"/>
      <c r="B28" s="75"/>
    </row>
    <row r="29" spans="1:38" s="55" customFormat="1">
      <c r="A29" s="75"/>
      <c r="B29" s="75"/>
    </row>
    <row r="30" spans="1:38" s="55" customFormat="1">
      <c r="A30" s="75"/>
      <c r="B30" s="75"/>
    </row>
    <row r="31" spans="1:38" s="55" customFormat="1">
      <c r="A31" s="75"/>
      <c r="B31" s="75"/>
    </row>
    <row r="32" spans="1:38" s="55" customFormat="1">
      <c r="A32" s="75"/>
      <c r="B32" s="75"/>
    </row>
    <row r="33" spans="1:2" s="55" customFormat="1">
      <c r="A33" s="75"/>
      <c r="B33" s="75"/>
    </row>
    <row r="34" spans="1:2" s="55" customFormat="1">
      <c r="A34" s="75"/>
      <c r="B34" s="75"/>
    </row>
    <row r="35" spans="1:2" s="55" customFormat="1">
      <c r="A35" s="75"/>
      <c r="B35" s="75"/>
    </row>
    <row r="36" spans="1:2" s="55" customFormat="1">
      <c r="A36" s="75"/>
      <c r="B36" s="75"/>
    </row>
    <row r="37" spans="1:2" s="55" customFormat="1">
      <c r="A37" s="75"/>
      <c r="B37" s="75"/>
    </row>
    <row r="38" spans="1:2" s="55" customFormat="1">
      <c r="A38" s="75"/>
      <c r="B38" s="75"/>
    </row>
    <row r="39" spans="1:2" s="55" customFormat="1">
      <c r="A39" s="75"/>
      <c r="B39" s="75"/>
    </row>
    <row r="40" spans="1:2" s="55" customFormat="1">
      <c r="A40" s="75"/>
      <c r="B40" s="75"/>
    </row>
    <row r="41" spans="1:2" s="55" customFormat="1">
      <c r="A41" s="75"/>
      <c r="B41" s="75"/>
    </row>
    <row r="42" spans="1:2" s="55" customFormat="1">
      <c r="A42" s="75"/>
      <c r="B42" s="75"/>
    </row>
    <row r="43" spans="1:2" s="55" customFormat="1">
      <c r="A43" s="75"/>
      <c r="B43" s="75"/>
    </row>
    <row r="44" spans="1:2" s="55" customFormat="1">
      <c r="A44" s="75"/>
      <c r="B44" s="75"/>
    </row>
    <row r="45" spans="1:2" s="55" customFormat="1">
      <c r="A45" s="75"/>
      <c r="B45" s="75"/>
    </row>
    <row r="46" spans="1:2" s="55" customFormat="1">
      <c r="A46" s="75"/>
      <c r="B46" s="75"/>
    </row>
    <row r="47" spans="1:2" s="55" customFormat="1">
      <c r="A47" s="75"/>
      <c r="B47" s="75"/>
    </row>
    <row r="48" spans="1:2" s="55" customFormat="1">
      <c r="A48" s="75"/>
      <c r="B48" s="75"/>
    </row>
    <row r="49" spans="1:2" s="55" customFormat="1">
      <c r="A49" s="75"/>
      <c r="B49" s="75"/>
    </row>
    <row r="50" spans="1:2" s="55" customFormat="1">
      <c r="A50" s="75"/>
      <c r="B50" s="75"/>
    </row>
    <row r="51" spans="1:2" s="55" customFormat="1">
      <c r="A51" s="75"/>
      <c r="B51" s="75"/>
    </row>
    <row r="52" spans="1:2" s="55" customFormat="1">
      <c r="A52" s="75"/>
      <c r="B52" s="75"/>
    </row>
    <row r="53" spans="1:2" s="55" customFormat="1">
      <c r="A53" s="75"/>
      <c r="B53" s="75"/>
    </row>
    <row r="54" spans="1:2" s="55" customFormat="1">
      <c r="A54" s="75"/>
      <c r="B54" s="75"/>
    </row>
    <row r="55" spans="1:2" s="55" customFormat="1">
      <c r="A55" s="75"/>
      <c r="B55" s="75"/>
    </row>
    <row r="56" spans="1:2" s="55" customFormat="1">
      <c r="A56" s="75"/>
      <c r="B56" s="75"/>
    </row>
    <row r="57" spans="1:2" s="55" customFormat="1">
      <c r="A57" s="75"/>
      <c r="B57" s="75"/>
    </row>
    <row r="58" spans="1:2" s="55" customFormat="1">
      <c r="A58" s="75"/>
      <c r="B58" s="75"/>
    </row>
    <row r="59" spans="1:2" s="55" customFormat="1">
      <c r="A59" s="75"/>
      <c r="B59" s="75"/>
    </row>
    <row r="60" spans="1:2" s="55" customFormat="1">
      <c r="A60" s="75"/>
      <c r="B60" s="75"/>
    </row>
    <row r="61" spans="1:2" s="55" customFormat="1">
      <c r="A61" s="75"/>
      <c r="B61" s="75"/>
    </row>
    <row r="62" spans="1:2" s="55" customFormat="1">
      <c r="A62" s="75"/>
      <c r="B62" s="75"/>
    </row>
    <row r="63" spans="1:2" s="55" customFormat="1">
      <c r="A63" s="75"/>
      <c r="B63" s="75"/>
    </row>
    <row r="64" spans="1:2" s="55" customFormat="1">
      <c r="A64" s="75"/>
      <c r="B64" s="75"/>
    </row>
    <row r="65" spans="1:2" s="55" customFormat="1">
      <c r="A65" s="75"/>
      <c r="B65" s="75"/>
    </row>
    <row r="66" spans="1:2" s="55" customFormat="1">
      <c r="A66" s="75"/>
      <c r="B66" s="75"/>
    </row>
    <row r="67" spans="1:2" s="55" customFormat="1">
      <c r="A67" s="75"/>
      <c r="B67" s="75"/>
    </row>
    <row r="68" spans="1:2" s="55" customFormat="1">
      <c r="A68" s="75"/>
      <c r="B68" s="75"/>
    </row>
    <row r="69" spans="1:2" s="55" customFormat="1">
      <c r="A69" s="75"/>
      <c r="B69" s="75"/>
    </row>
    <row r="70" spans="1:2" s="55" customFormat="1">
      <c r="A70" s="75"/>
      <c r="B70" s="75"/>
    </row>
    <row r="71" spans="1:2" s="55" customFormat="1">
      <c r="A71" s="75"/>
      <c r="B71" s="75"/>
    </row>
    <row r="72" spans="1:2" s="55" customFormat="1">
      <c r="A72" s="75"/>
      <c r="B72" s="75"/>
    </row>
    <row r="73" spans="1:2" s="55" customFormat="1">
      <c r="A73" s="75"/>
      <c r="B73" s="75"/>
    </row>
    <row r="74" spans="1:2" s="55" customFormat="1">
      <c r="A74" s="75"/>
      <c r="B74" s="75"/>
    </row>
    <row r="75" spans="1:2" s="55" customFormat="1">
      <c r="A75" s="75"/>
      <c r="B75" s="75"/>
    </row>
    <row r="76" spans="1:2" s="55" customFormat="1">
      <c r="A76" s="75"/>
      <c r="B76" s="75"/>
    </row>
    <row r="77" spans="1:2" s="55" customFormat="1">
      <c r="A77" s="75"/>
      <c r="B77" s="75"/>
    </row>
    <row r="78" spans="1:2" s="55" customFormat="1">
      <c r="A78" s="75"/>
      <c r="B78" s="75"/>
    </row>
    <row r="79" spans="1:2" s="55" customFormat="1">
      <c r="A79" s="75"/>
      <c r="B79" s="75"/>
    </row>
    <row r="80" spans="1:2" s="55" customFormat="1">
      <c r="A80" s="75"/>
      <c r="B80" s="75"/>
    </row>
    <row r="81" spans="1:2" s="55" customFormat="1">
      <c r="A81" s="75"/>
      <c r="B81" s="75"/>
    </row>
    <row r="82" spans="1:2" s="55" customFormat="1">
      <c r="A82" s="75"/>
      <c r="B82" s="75"/>
    </row>
    <row r="83" spans="1:2" s="55" customFormat="1">
      <c r="A83" s="75"/>
      <c r="B83" s="75"/>
    </row>
    <row r="84" spans="1:2" s="55" customFormat="1">
      <c r="A84" s="75"/>
      <c r="B84" s="75"/>
    </row>
    <row r="85" spans="1:2" s="55" customFormat="1">
      <c r="A85" s="75"/>
      <c r="B85" s="75"/>
    </row>
    <row r="86" spans="1:2" s="55" customFormat="1">
      <c r="A86" s="75"/>
      <c r="B86" s="75"/>
    </row>
    <row r="87" spans="1:2" s="55" customFormat="1">
      <c r="A87" s="75"/>
      <c r="B87" s="75"/>
    </row>
    <row r="88" spans="1:2" s="55" customFormat="1">
      <c r="A88" s="75"/>
      <c r="B88" s="75"/>
    </row>
    <row r="89" spans="1:2" s="55" customFormat="1">
      <c r="A89" s="75"/>
      <c r="B89" s="75"/>
    </row>
    <row r="90" spans="1:2" s="55" customFormat="1">
      <c r="A90" s="75"/>
      <c r="B90" s="75"/>
    </row>
    <row r="91" spans="1:2" s="55" customFormat="1">
      <c r="A91" s="75"/>
      <c r="B91" s="75"/>
    </row>
    <row r="92" spans="1:2" s="55" customFormat="1">
      <c r="A92" s="75"/>
      <c r="B92" s="75"/>
    </row>
    <row r="93" spans="1:2" s="55" customFormat="1">
      <c r="A93" s="75"/>
      <c r="B93" s="75"/>
    </row>
    <row r="94" spans="1:2" s="55" customFormat="1">
      <c r="A94" s="75"/>
      <c r="B94" s="75"/>
    </row>
    <row r="95" spans="1:2" s="55" customFormat="1">
      <c r="A95" s="75"/>
      <c r="B95" s="75"/>
    </row>
    <row r="96" spans="1:2" s="55" customFormat="1">
      <c r="A96" s="75"/>
      <c r="B96" s="75"/>
    </row>
    <row r="97" spans="1:2" s="55" customFormat="1">
      <c r="A97" s="75"/>
      <c r="B97" s="75"/>
    </row>
    <row r="98" spans="1:2" s="55" customFormat="1">
      <c r="A98" s="75"/>
      <c r="B98" s="75"/>
    </row>
    <row r="99" spans="1:2" s="55" customFormat="1">
      <c r="A99" s="75"/>
      <c r="B99" s="75"/>
    </row>
    <row r="100" spans="1:2" s="55" customFormat="1">
      <c r="A100" s="75"/>
      <c r="B100" s="75"/>
    </row>
    <row r="101" spans="1:2" s="55" customFormat="1">
      <c r="A101" s="75"/>
      <c r="B101" s="75"/>
    </row>
    <row r="102" spans="1:2" s="55" customFormat="1">
      <c r="A102" s="75"/>
      <c r="B102" s="75"/>
    </row>
    <row r="103" spans="1:2" s="55" customFormat="1">
      <c r="A103" s="75"/>
      <c r="B103" s="75"/>
    </row>
    <row r="104" spans="1:2" s="55" customFormat="1">
      <c r="A104" s="75"/>
      <c r="B104" s="75"/>
    </row>
    <row r="105" spans="1:2" s="55" customFormat="1">
      <c r="A105" s="75"/>
      <c r="B105" s="75"/>
    </row>
    <row r="106" spans="1:2" s="55" customFormat="1">
      <c r="A106" s="75"/>
      <c r="B106" s="75"/>
    </row>
    <row r="107" spans="1:2" s="55" customFormat="1">
      <c r="A107" s="75"/>
      <c r="B107" s="75"/>
    </row>
    <row r="108" spans="1:2" s="55" customFormat="1">
      <c r="A108" s="75"/>
      <c r="B108" s="75"/>
    </row>
    <row r="109" spans="1:2" s="55" customFormat="1">
      <c r="A109" s="75"/>
      <c r="B109" s="75"/>
    </row>
    <row r="110" spans="1:2" s="55" customFormat="1">
      <c r="A110" s="75"/>
      <c r="B110" s="75"/>
    </row>
    <row r="111" spans="1:2" s="55" customFormat="1">
      <c r="A111" s="75"/>
      <c r="B111" s="75"/>
    </row>
    <row r="112" spans="1:2" s="55" customFormat="1">
      <c r="A112" s="75"/>
      <c r="B112" s="75"/>
    </row>
    <row r="113" spans="1:2" s="55" customFormat="1">
      <c r="A113" s="75"/>
      <c r="B113" s="75"/>
    </row>
    <row r="114" spans="1:2" s="55" customFormat="1">
      <c r="A114" s="75"/>
      <c r="B114" s="75"/>
    </row>
    <row r="115" spans="1:2" s="55" customFormat="1">
      <c r="A115" s="75"/>
      <c r="B115" s="75"/>
    </row>
    <row r="116" spans="1:2" s="55" customFormat="1">
      <c r="A116" s="75"/>
      <c r="B116" s="75"/>
    </row>
    <row r="117" spans="1:2" s="55" customFormat="1">
      <c r="A117" s="75"/>
      <c r="B117" s="75"/>
    </row>
    <row r="118" spans="1:2" s="55" customFormat="1">
      <c r="A118" s="75"/>
      <c r="B118" s="75"/>
    </row>
    <row r="119" spans="1:2" s="55" customFormat="1">
      <c r="A119" s="75"/>
      <c r="B119" s="75"/>
    </row>
    <row r="120" spans="1:2" s="55" customFormat="1">
      <c r="A120" s="75"/>
      <c r="B120" s="75"/>
    </row>
    <row r="121" spans="1:2" s="55" customFormat="1">
      <c r="A121" s="75"/>
      <c r="B121" s="75"/>
    </row>
    <row r="122" spans="1:2" s="55" customFormat="1">
      <c r="A122" s="75"/>
      <c r="B122" s="75"/>
    </row>
    <row r="123" spans="1:2" s="55" customFormat="1">
      <c r="A123" s="75"/>
      <c r="B123" s="75"/>
    </row>
    <row r="124" spans="1:2" s="55" customFormat="1">
      <c r="A124" s="75"/>
      <c r="B124" s="75"/>
    </row>
    <row r="125" spans="1:2" s="55" customFormat="1">
      <c r="A125" s="75"/>
      <c r="B125" s="75"/>
    </row>
    <row r="126" spans="1:2" s="55" customFormat="1">
      <c r="A126" s="75"/>
      <c r="B126" s="75"/>
    </row>
    <row r="127" spans="1:2" s="55" customFormat="1">
      <c r="A127" s="75"/>
      <c r="B127" s="75"/>
    </row>
    <row r="128" spans="1:2" s="55" customFormat="1">
      <c r="A128" s="75"/>
      <c r="B128" s="75"/>
    </row>
    <row r="129" spans="1:2" s="55" customFormat="1">
      <c r="A129" s="75"/>
      <c r="B129" s="75"/>
    </row>
    <row r="130" spans="1:2" s="55" customFormat="1">
      <c r="A130" s="75"/>
      <c r="B130" s="75"/>
    </row>
    <row r="131" spans="1:2" s="55" customFormat="1">
      <c r="A131" s="75"/>
      <c r="B131" s="75"/>
    </row>
    <row r="132" spans="1:2" s="55" customFormat="1">
      <c r="A132" s="75"/>
      <c r="B132" s="75"/>
    </row>
    <row r="133" spans="1:2" s="55" customFormat="1">
      <c r="A133" s="75"/>
      <c r="B133" s="75"/>
    </row>
    <row r="134" spans="1:2" s="55" customFormat="1">
      <c r="A134" s="75"/>
      <c r="B134" s="75"/>
    </row>
    <row r="135" spans="1:2" s="55" customFormat="1">
      <c r="A135" s="75"/>
      <c r="B135" s="75"/>
    </row>
    <row r="136" spans="1:2" s="55" customFormat="1">
      <c r="A136" s="75"/>
      <c r="B136" s="75"/>
    </row>
    <row r="137" spans="1:2" s="55" customFormat="1">
      <c r="A137" s="75"/>
      <c r="B137" s="75"/>
    </row>
    <row r="138" spans="1:2" s="55" customFormat="1">
      <c r="A138" s="75"/>
      <c r="B138" s="75"/>
    </row>
    <row r="139" spans="1:2" s="55" customFormat="1">
      <c r="A139" s="75"/>
      <c r="B139" s="75"/>
    </row>
    <row r="140" spans="1:2" s="55" customFormat="1">
      <c r="A140" s="75"/>
      <c r="B140" s="75"/>
    </row>
    <row r="141" spans="1:2" s="55" customFormat="1">
      <c r="A141" s="75"/>
      <c r="B141" s="75"/>
    </row>
    <row r="142" spans="1:2" s="55" customFormat="1">
      <c r="A142" s="75"/>
      <c r="B142" s="75"/>
    </row>
    <row r="143" spans="1:2" s="55" customFormat="1">
      <c r="A143" s="75"/>
      <c r="B143" s="75"/>
    </row>
    <row r="144" spans="1:2" s="55" customFormat="1">
      <c r="A144" s="75"/>
      <c r="B144" s="75"/>
    </row>
    <row r="145" spans="1:2" s="55" customFormat="1">
      <c r="A145" s="75"/>
      <c r="B145" s="75"/>
    </row>
    <row r="146" spans="1:2" s="55" customFormat="1">
      <c r="A146" s="75"/>
      <c r="B146" s="75"/>
    </row>
    <row r="147" spans="1:2" s="55" customFormat="1">
      <c r="A147" s="75"/>
      <c r="B147" s="75"/>
    </row>
    <row r="148" spans="1:2" s="55" customFormat="1">
      <c r="A148" s="75"/>
      <c r="B148" s="75"/>
    </row>
    <row r="149" spans="1:2" s="55" customFormat="1">
      <c r="A149" s="75"/>
      <c r="B149" s="75"/>
    </row>
    <row r="150" spans="1:2" s="55" customFormat="1">
      <c r="A150" s="75"/>
      <c r="B150" s="75"/>
    </row>
    <row r="151" spans="1:2" s="55" customFormat="1">
      <c r="A151" s="75"/>
      <c r="B151" s="75"/>
    </row>
    <row r="152" spans="1:2" s="55" customFormat="1">
      <c r="A152" s="75"/>
      <c r="B152" s="75"/>
    </row>
    <row r="153" spans="1:2" s="55" customFormat="1">
      <c r="A153" s="75"/>
      <c r="B153" s="75"/>
    </row>
    <row r="154" spans="1:2" s="55" customFormat="1">
      <c r="A154" s="75"/>
      <c r="B154" s="75"/>
    </row>
    <row r="155" spans="1:2" s="55" customFormat="1">
      <c r="A155" s="75"/>
      <c r="B155" s="75"/>
    </row>
    <row r="156" spans="1:2" s="55" customFormat="1">
      <c r="A156" s="75"/>
      <c r="B156" s="75"/>
    </row>
    <row r="157" spans="1:2" s="55" customFormat="1">
      <c r="A157" s="75"/>
      <c r="B157" s="75"/>
    </row>
    <row r="158" spans="1:2" s="55" customFormat="1">
      <c r="A158" s="75"/>
      <c r="B158" s="75"/>
    </row>
    <row r="159" spans="1:2" s="55" customFormat="1">
      <c r="A159" s="75"/>
      <c r="B159" s="75"/>
    </row>
    <row r="160" spans="1:2" s="55" customFormat="1">
      <c r="A160" s="75"/>
      <c r="B160" s="75"/>
    </row>
    <row r="161" spans="1:2" s="55" customFormat="1">
      <c r="A161" s="75"/>
      <c r="B161" s="75"/>
    </row>
    <row r="162" spans="1:2" s="55" customFormat="1">
      <c r="A162" s="75"/>
      <c r="B162" s="75"/>
    </row>
    <row r="163" spans="1:2" s="55" customFormat="1">
      <c r="A163" s="75"/>
      <c r="B163" s="75"/>
    </row>
    <row r="164" spans="1:2" s="55" customFormat="1">
      <c r="A164" s="75"/>
      <c r="B164" s="75"/>
    </row>
    <row r="165" spans="1:2" s="55" customFormat="1">
      <c r="A165" s="75"/>
      <c r="B165" s="75"/>
    </row>
    <row r="166" spans="1:2" s="55" customFormat="1">
      <c r="A166" s="75"/>
      <c r="B166" s="75"/>
    </row>
    <row r="167" spans="1:2" s="55" customFormat="1">
      <c r="A167" s="75"/>
      <c r="B167" s="75"/>
    </row>
    <row r="168" spans="1:2" s="55" customFormat="1">
      <c r="A168" s="75"/>
      <c r="B168" s="75"/>
    </row>
    <row r="169" spans="1:2" s="55" customFormat="1">
      <c r="A169" s="75"/>
      <c r="B169" s="75"/>
    </row>
    <row r="170" spans="1:2" s="55" customFormat="1">
      <c r="A170" s="75"/>
      <c r="B170" s="75"/>
    </row>
    <row r="171" spans="1:2" s="55" customFormat="1">
      <c r="A171" s="75"/>
      <c r="B171" s="75"/>
    </row>
    <row r="172" spans="1:2" s="55" customFormat="1">
      <c r="A172" s="75"/>
      <c r="B172" s="75"/>
    </row>
    <row r="173" spans="1:2" s="55" customFormat="1">
      <c r="A173" s="75"/>
      <c r="B173" s="75"/>
    </row>
    <row r="174" spans="1:2" s="55" customFormat="1">
      <c r="A174" s="75"/>
      <c r="B174" s="75"/>
    </row>
    <row r="175" spans="1:2" s="55" customFormat="1">
      <c r="A175" s="75"/>
      <c r="B175" s="75"/>
    </row>
    <row r="176" spans="1:2" s="55" customFormat="1">
      <c r="A176" s="75"/>
      <c r="B176" s="75"/>
    </row>
    <row r="177" spans="1:2" s="55" customFormat="1">
      <c r="A177" s="75"/>
      <c r="B177" s="75"/>
    </row>
    <row r="178" spans="1:2" s="55" customFormat="1">
      <c r="A178" s="75"/>
      <c r="B178" s="75"/>
    </row>
    <row r="179" spans="1:2" s="55" customFormat="1">
      <c r="A179" s="75"/>
      <c r="B179" s="75"/>
    </row>
    <row r="180" spans="1:2" s="55" customFormat="1">
      <c r="A180" s="75"/>
      <c r="B180" s="75"/>
    </row>
    <row r="181" spans="1:2" s="55" customFormat="1">
      <c r="A181" s="75"/>
      <c r="B181" s="75"/>
    </row>
    <row r="182" spans="1:2" s="55" customFormat="1">
      <c r="A182" s="75"/>
      <c r="B182" s="75"/>
    </row>
    <row r="183" spans="1:2" s="55" customFormat="1">
      <c r="A183" s="75"/>
      <c r="B183" s="75"/>
    </row>
    <row r="184" spans="1:2" s="55" customFormat="1">
      <c r="A184" s="75"/>
      <c r="B184" s="75"/>
    </row>
    <row r="185" spans="1:2" s="55" customFormat="1">
      <c r="A185" s="75"/>
      <c r="B185" s="75"/>
    </row>
    <row r="186" spans="1:2" s="55" customFormat="1">
      <c r="A186" s="75"/>
      <c r="B186" s="75"/>
    </row>
    <row r="187" spans="1:2" s="55" customFormat="1">
      <c r="A187" s="75"/>
      <c r="B187" s="75"/>
    </row>
    <row r="188" spans="1:2" s="55" customFormat="1">
      <c r="A188" s="75"/>
      <c r="B188" s="75"/>
    </row>
    <row r="189" spans="1:2" s="55" customFormat="1">
      <c r="A189" s="75"/>
      <c r="B189" s="75"/>
    </row>
    <row r="190" spans="1:2" s="55" customFormat="1">
      <c r="A190" s="75"/>
      <c r="B190" s="75"/>
    </row>
    <row r="191" spans="1:2" s="55" customFormat="1">
      <c r="A191" s="75"/>
      <c r="B191" s="75"/>
    </row>
    <row r="192" spans="1:2" s="55" customFormat="1">
      <c r="A192" s="75"/>
      <c r="B192" s="75"/>
    </row>
    <row r="193" spans="1:2" s="55" customFormat="1">
      <c r="A193" s="75"/>
      <c r="B193" s="75"/>
    </row>
    <row r="194" spans="1:2" s="55" customFormat="1">
      <c r="A194" s="75"/>
      <c r="B194" s="75"/>
    </row>
    <row r="195" spans="1:2" s="55" customFormat="1">
      <c r="A195" s="75"/>
      <c r="B195" s="75"/>
    </row>
    <row r="196" spans="1:2" s="55" customFormat="1">
      <c r="A196" s="75"/>
      <c r="B196" s="75"/>
    </row>
    <row r="197" spans="1:2" s="55" customFormat="1">
      <c r="A197" s="75"/>
      <c r="B197" s="75"/>
    </row>
    <row r="198" spans="1:2" s="55" customFormat="1">
      <c r="A198" s="75"/>
      <c r="B198" s="75"/>
    </row>
    <row r="199" spans="1:2" s="55" customFormat="1">
      <c r="A199" s="75"/>
      <c r="B199" s="75"/>
    </row>
    <row r="200" spans="1:2" s="55" customFormat="1">
      <c r="A200" s="75"/>
      <c r="B200" s="75"/>
    </row>
    <row r="201" spans="1:2" s="55" customFormat="1">
      <c r="A201" s="75"/>
      <c r="B201" s="75"/>
    </row>
    <row r="202" spans="1:2" s="55" customFormat="1">
      <c r="A202" s="75"/>
      <c r="B202" s="75"/>
    </row>
    <row r="203" spans="1:2" s="55" customFormat="1">
      <c r="A203" s="75"/>
      <c r="B203" s="75"/>
    </row>
    <row r="204" spans="1:2" s="55" customFormat="1">
      <c r="A204" s="75"/>
      <c r="B204" s="75"/>
    </row>
    <row r="205" spans="1:2" s="55" customFormat="1">
      <c r="A205" s="75"/>
      <c r="B205" s="75"/>
    </row>
    <row r="206" spans="1:2" s="55" customFormat="1">
      <c r="A206" s="75"/>
      <c r="B206" s="75"/>
    </row>
    <row r="207" spans="1:2" s="55" customFormat="1">
      <c r="A207" s="75"/>
      <c r="B207" s="75"/>
    </row>
    <row r="208" spans="1:2" s="55" customFormat="1">
      <c r="A208" s="75"/>
      <c r="B208" s="75"/>
    </row>
    <row r="209" spans="1:2" s="55" customFormat="1">
      <c r="A209" s="75"/>
      <c r="B209" s="75"/>
    </row>
    <row r="210" spans="1:2" s="55" customFormat="1">
      <c r="A210" s="75"/>
      <c r="B210" s="75"/>
    </row>
    <row r="211" spans="1:2" s="55" customFormat="1">
      <c r="A211" s="75"/>
      <c r="B211" s="75"/>
    </row>
    <row r="212" spans="1:2" s="55" customFormat="1">
      <c r="A212" s="75"/>
      <c r="B212" s="75"/>
    </row>
    <row r="213" spans="1:2" s="55" customFormat="1">
      <c r="A213" s="75"/>
      <c r="B213" s="75"/>
    </row>
    <row r="214" spans="1:2" s="55" customFormat="1">
      <c r="A214" s="75"/>
      <c r="B214" s="75"/>
    </row>
    <row r="215" spans="1:2" s="55" customFormat="1">
      <c r="A215" s="75"/>
      <c r="B215" s="75"/>
    </row>
    <row r="216" spans="1:2" s="55" customFormat="1">
      <c r="A216" s="75"/>
      <c r="B216" s="75"/>
    </row>
    <row r="217" spans="1:2" s="55" customFormat="1">
      <c r="A217" s="75"/>
      <c r="B217" s="75"/>
    </row>
    <row r="218" spans="1:2" s="55" customFormat="1">
      <c r="A218" s="75"/>
      <c r="B218" s="75"/>
    </row>
    <row r="219" spans="1:2" s="55" customFormat="1">
      <c r="A219" s="75"/>
      <c r="B219" s="75"/>
    </row>
    <row r="220" spans="1:2" s="55" customFormat="1">
      <c r="A220" s="75"/>
      <c r="B220" s="75"/>
    </row>
    <row r="221" spans="1:2" s="55" customFormat="1">
      <c r="A221" s="75"/>
      <c r="B221" s="75"/>
    </row>
    <row r="222" spans="1:2" s="55" customFormat="1">
      <c r="A222" s="75"/>
      <c r="B222" s="75"/>
    </row>
    <row r="223" spans="1:2" s="55" customFormat="1">
      <c r="A223" s="75"/>
      <c r="B223" s="75"/>
    </row>
    <row r="224" spans="1:2" s="55" customFormat="1">
      <c r="A224" s="75"/>
      <c r="B224" s="75"/>
    </row>
    <row r="225" spans="1:2" s="55" customFormat="1">
      <c r="A225" s="75"/>
      <c r="B225" s="75"/>
    </row>
    <row r="226" spans="1:2" s="55" customFormat="1">
      <c r="A226" s="75"/>
      <c r="B226" s="75"/>
    </row>
    <row r="227" spans="1:2" s="55" customFormat="1">
      <c r="A227" s="75"/>
      <c r="B227" s="75"/>
    </row>
    <row r="228" spans="1:2" s="55" customFormat="1">
      <c r="A228" s="75"/>
      <c r="B228" s="75"/>
    </row>
    <row r="229" spans="1:2" s="55" customFormat="1">
      <c r="A229" s="75"/>
      <c r="B229" s="75"/>
    </row>
    <row r="230" spans="1:2" s="55" customFormat="1">
      <c r="A230" s="75"/>
      <c r="B230" s="75"/>
    </row>
    <row r="231" spans="1:2" s="55" customFormat="1">
      <c r="A231" s="75"/>
      <c r="B231" s="75"/>
    </row>
    <row r="232" spans="1:2" s="55" customFormat="1">
      <c r="A232" s="75"/>
      <c r="B232" s="75"/>
    </row>
    <row r="233" spans="1:2" s="55" customFormat="1">
      <c r="A233" s="75"/>
      <c r="B233" s="75"/>
    </row>
    <row r="234" spans="1:2" s="55" customFormat="1">
      <c r="A234" s="75"/>
      <c r="B234" s="75"/>
    </row>
    <row r="235" spans="1:2" s="55" customFormat="1">
      <c r="A235" s="75"/>
      <c r="B235" s="75"/>
    </row>
    <row r="236" spans="1:2" s="55" customFormat="1">
      <c r="A236" s="75"/>
      <c r="B236" s="75"/>
    </row>
    <row r="237" spans="1:2" s="55" customFormat="1">
      <c r="A237" s="75"/>
      <c r="B237" s="75"/>
    </row>
    <row r="238" spans="1:2" s="55" customFormat="1">
      <c r="A238" s="75"/>
      <c r="B238" s="75"/>
    </row>
    <row r="239" spans="1:2" s="55" customFormat="1">
      <c r="A239" s="75"/>
      <c r="B239" s="75"/>
    </row>
    <row r="240" spans="1:2" s="55" customFormat="1">
      <c r="A240" s="75"/>
      <c r="B240" s="75"/>
    </row>
    <row r="241" spans="1:2" s="55" customFormat="1">
      <c r="A241" s="75"/>
      <c r="B241" s="75"/>
    </row>
    <row r="242" spans="1:2" s="55" customFormat="1">
      <c r="A242" s="75"/>
      <c r="B242" s="75"/>
    </row>
    <row r="243" spans="1:2" s="55" customFormat="1">
      <c r="A243" s="75"/>
      <c r="B243" s="75"/>
    </row>
    <row r="244" spans="1:2" s="55" customFormat="1">
      <c r="A244" s="75"/>
      <c r="B244" s="75"/>
    </row>
    <row r="245" spans="1:2" s="55" customFormat="1">
      <c r="A245" s="75"/>
      <c r="B245" s="75"/>
    </row>
    <row r="246" spans="1:2" s="55" customFormat="1">
      <c r="A246" s="75"/>
      <c r="B246" s="75"/>
    </row>
    <row r="247" spans="1:2" s="55" customFormat="1">
      <c r="A247" s="75"/>
      <c r="B247" s="75"/>
    </row>
    <row r="248" spans="1:2" s="55" customFormat="1">
      <c r="A248" s="75"/>
      <c r="B248" s="75"/>
    </row>
    <row r="249" spans="1:2" s="55" customFormat="1">
      <c r="A249" s="75"/>
      <c r="B249" s="75"/>
    </row>
    <row r="250" spans="1:2" s="55" customFormat="1">
      <c r="A250" s="75"/>
      <c r="B250" s="75"/>
    </row>
    <row r="251" spans="1:2" s="55" customFormat="1">
      <c r="A251" s="75"/>
      <c r="B251" s="75"/>
    </row>
    <row r="252" spans="1:2" s="55" customFormat="1">
      <c r="A252" s="75"/>
      <c r="B252" s="75"/>
    </row>
    <row r="253" spans="1:2" s="55" customFormat="1">
      <c r="A253" s="75"/>
      <c r="B253" s="75"/>
    </row>
    <row r="254" spans="1:2" s="55" customFormat="1">
      <c r="A254" s="75"/>
      <c r="B254" s="75"/>
    </row>
    <row r="255" spans="1:2" s="55" customFormat="1">
      <c r="A255" s="75"/>
      <c r="B255" s="75"/>
    </row>
    <row r="256" spans="1:2" s="55" customFormat="1">
      <c r="A256" s="75"/>
      <c r="B256" s="75"/>
    </row>
    <row r="257" spans="1:2" s="55" customFormat="1">
      <c r="A257" s="75"/>
      <c r="B257" s="75"/>
    </row>
    <row r="258" spans="1:2" s="55" customFormat="1">
      <c r="A258" s="75"/>
      <c r="B258" s="75"/>
    </row>
    <row r="259" spans="1:2" s="55" customFormat="1">
      <c r="A259" s="75"/>
      <c r="B259" s="75"/>
    </row>
    <row r="260" spans="1:2" s="55" customFormat="1">
      <c r="A260" s="75"/>
      <c r="B260" s="75"/>
    </row>
    <row r="261" spans="1:2" s="55" customFormat="1">
      <c r="A261" s="75"/>
      <c r="B261" s="75"/>
    </row>
    <row r="262" spans="1:2" s="55" customFormat="1">
      <c r="A262" s="75"/>
      <c r="B262" s="75"/>
    </row>
    <row r="263" spans="1:2" s="55" customFormat="1">
      <c r="A263" s="75"/>
      <c r="B263" s="75"/>
    </row>
    <row r="264" spans="1:2" s="55" customFormat="1">
      <c r="A264" s="75"/>
      <c r="B264" s="75"/>
    </row>
    <row r="265" spans="1:2" s="55" customFormat="1">
      <c r="A265" s="75"/>
      <c r="B265" s="75"/>
    </row>
    <row r="266" spans="1:2" s="55" customFormat="1">
      <c r="A266" s="75"/>
      <c r="B266" s="75"/>
    </row>
    <row r="267" spans="1:2" s="55" customFormat="1">
      <c r="A267" s="75"/>
      <c r="B267" s="75"/>
    </row>
    <row r="268" spans="1:2" s="55" customFormat="1">
      <c r="A268" s="75"/>
      <c r="B268" s="75"/>
    </row>
    <row r="269" spans="1:2" s="55" customFormat="1">
      <c r="A269" s="75"/>
      <c r="B269" s="75"/>
    </row>
    <row r="270" spans="1:2" s="55" customFormat="1">
      <c r="A270" s="75"/>
      <c r="B270" s="75"/>
    </row>
    <row r="271" spans="1:2" s="55" customFormat="1">
      <c r="A271" s="75"/>
      <c r="B271" s="75"/>
    </row>
    <row r="272" spans="1:2" s="55" customFormat="1">
      <c r="A272" s="75"/>
      <c r="B272" s="75"/>
    </row>
    <row r="273" spans="1:2" s="55" customFormat="1">
      <c r="A273" s="75"/>
      <c r="B273" s="75"/>
    </row>
    <row r="274" spans="1:2" s="55" customFormat="1">
      <c r="A274" s="75"/>
      <c r="B274" s="75"/>
    </row>
    <row r="275" spans="1:2" s="55" customFormat="1">
      <c r="A275" s="75"/>
      <c r="B275" s="75"/>
    </row>
    <row r="276" spans="1:2" s="55" customFormat="1">
      <c r="A276" s="75"/>
      <c r="B276" s="75"/>
    </row>
    <row r="277" spans="1:2" s="55" customFormat="1">
      <c r="A277" s="75"/>
      <c r="B277" s="75"/>
    </row>
    <row r="278" spans="1:2" s="55" customFormat="1">
      <c r="A278" s="75"/>
      <c r="B278" s="75"/>
    </row>
    <row r="279" spans="1:2" s="55" customFormat="1">
      <c r="A279" s="75"/>
      <c r="B279" s="75"/>
    </row>
    <row r="280" spans="1:2" s="55" customFormat="1">
      <c r="A280" s="75"/>
      <c r="B280" s="75"/>
    </row>
    <row r="281" spans="1:2" s="55" customFormat="1">
      <c r="A281" s="75"/>
      <c r="B281" s="75"/>
    </row>
    <row r="282" spans="1:2" s="55" customFormat="1">
      <c r="A282" s="75"/>
      <c r="B282" s="75"/>
    </row>
    <row r="283" spans="1:2" s="55" customFormat="1">
      <c r="A283" s="75"/>
      <c r="B283" s="75"/>
    </row>
    <row r="284" spans="1:2" s="55" customFormat="1">
      <c r="A284" s="75"/>
      <c r="B284" s="75"/>
    </row>
    <row r="285" spans="1:2" s="55" customFormat="1">
      <c r="A285" s="75"/>
      <c r="B285" s="75"/>
    </row>
    <row r="286" spans="1:2" s="55" customFormat="1">
      <c r="A286" s="75"/>
      <c r="B286" s="75"/>
    </row>
    <row r="287" spans="1:2" s="55" customFormat="1">
      <c r="A287" s="75"/>
      <c r="B287" s="75"/>
    </row>
    <row r="288" spans="1:2" s="55" customFormat="1">
      <c r="A288" s="75"/>
      <c r="B288" s="75"/>
    </row>
    <row r="289" spans="1:2" s="55" customFormat="1">
      <c r="A289" s="75"/>
      <c r="B289" s="75"/>
    </row>
    <row r="290" spans="1:2" s="55" customFormat="1">
      <c r="A290" s="75"/>
      <c r="B290" s="75"/>
    </row>
    <row r="291" spans="1:2" s="55" customFormat="1">
      <c r="A291" s="75"/>
      <c r="B291" s="75"/>
    </row>
    <row r="292" spans="1:2" s="55" customFormat="1">
      <c r="A292" s="75"/>
      <c r="B292" s="75"/>
    </row>
    <row r="293" spans="1:2" s="55" customFormat="1">
      <c r="A293" s="75"/>
      <c r="B293" s="75"/>
    </row>
    <row r="294" spans="1:2" s="55" customFormat="1">
      <c r="A294" s="75"/>
      <c r="B294" s="75"/>
    </row>
    <row r="295" spans="1:2" s="55" customFormat="1">
      <c r="A295" s="75"/>
      <c r="B295" s="75"/>
    </row>
    <row r="296" spans="1:2" s="55" customFormat="1">
      <c r="A296" s="75"/>
      <c r="B296" s="75"/>
    </row>
    <row r="297" spans="1:2" s="55" customFormat="1">
      <c r="A297" s="75"/>
      <c r="B297" s="75"/>
    </row>
    <row r="298" spans="1:2" s="55" customFormat="1">
      <c r="A298" s="75"/>
      <c r="B298" s="75"/>
    </row>
    <row r="299" spans="1:2" s="55" customFormat="1">
      <c r="A299" s="75"/>
      <c r="B299" s="75"/>
    </row>
    <row r="300" spans="1:2" s="55" customFormat="1">
      <c r="A300" s="75"/>
      <c r="B300" s="75"/>
    </row>
    <row r="301" spans="1:2" s="55" customFormat="1">
      <c r="A301" s="75"/>
      <c r="B301" s="75"/>
    </row>
    <row r="302" spans="1:2" s="55" customFormat="1">
      <c r="A302" s="75"/>
      <c r="B302" s="75"/>
    </row>
    <row r="303" spans="1:2" s="55" customFormat="1">
      <c r="A303" s="75"/>
      <c r="B303" s="75"/>
    </row>
    <row r="304" spans="1:2" s="55" customFormat="1">
      <c r="A304" s="75"/>
      <c r="B304" s="75"/>
    </row>
    <row r="305" spans="1:2" s="55" customFormat="1">
      <c r="A305" s="75"/>
      <c r="B305" s="75"/>
    </row>
    <row r="306" spans="1:2" s="55" customFormat="1">
      <c r="A306" s="75"/>
      <c r="B306" s="75"/>
    </row>
    <row r="307" spans="1:2" s="55" customFormat="1">
      <c r="A307" s="75"/>
      <c r="B307" s="75"/>
    </row>
    <row r="308" spans="1:2" s="55" customFormat="1">
      <c r="A308" s="75"/>
      <c r="B308" s="75"/>
    </row>
    <row r="309" spans="1:2" s="55" customFormat="1">
      <c r="A309" s="75"/>
      <c r="B309" s="75"/>
    </row>
    <row r="310" spans="1:2" s="55" customFormat="1">
      <c r="A310" s="75"/>
      <c r="B310" s="75"/>
    </row>
    <row r="311" spans="1:2" s="55" customFormat="1">
      <c r="A311" s="75"/>
      <c r="B311" s="75"/>
    </row>
    <row r="312" spans="1:2" s="55" customFormat="1">
      <c r="A312" s="75"/>
      <c r="B312" s="75"/>
    </row>
    <row r="313" spans="1:2" s="55" customFormat="1">
      <c r="A313" s="75"/>
      <c r="B313" s="75"/>
    </row>
    <row r="314" spans="1:2" s="55" customFormat="1">
      <c r="A314" s="75"/>
      <c r="B314" s="75"/>
    </row>
    <row r="315" spans="1:2" s="55" customFormat="1">
      <c r="A315" s="75"/>
      <c r="B315" s="75"/>
    </row>
    <row r="316" spans="1:2" s="55" customFormat="1">
      <c r="A316" s="75"/>
      <c r="B316" s="75"/>
    </row>
    <row r="317" spans="1:2" s="55" customFormat="1">
      <c r="A317" s="75"/>
      <c r="B317" s="75"/>
    </row>
    <row r="318" spans="1:2" s="55" customFormat="1">
      <c r="A318" s="75"/>
      <c r="B318" s="75"/>
    </row>
    <row r="319" spans="1:2" s="55" customFormat="1">
      <c r="A319" s="75"/>
      <c r="B319" s="75"/>
    </row>
    <row r="320" spans="1:2" s="55" customFormat="1">
      <c r="A320" s="75"/>
      <c r="B320" s="75"/>
    </row>
    <row r="321" spans="1:2" s="55" customFormat="1">
      <c r="A321" s="75"/>
      <c r="B321" s="75"/>
    </row>
    <row r="322" spans="1:2" s="55" customFormat="1">
      <c r="A322" s="75"/>
      <c r="B322" s="75"/>
    </row>
    <row r="323" spans="1:2" s="55" customFormat="1">
      <c r="A323" s="75"/>
      <c r="B323" s="75"/>
    </row>
    <row r="324" spans="1:2" s="55" customFormat="1">
      <c r="A324" s="75"/>
      <c r="B324" s="75"/>
    </row>
    <row r="325" spans="1:2" s="55" customFormat="1">
      <c r="A325" s="75"/>
      <c r="B325" s="75"/>
    </row>
    <row r="326" spans="1:2" s="55" customFormat="1">
      <c r="A326" s="75"/>
      <c r="B326" s="75"/>
    </row>
    <row r="327" spans="1:2" s="55" customFormat="1">
      <c r="A327" s="75"/>
      <c r="B327" s="75"/>
    </row>
    <row r="328" spans="1:2" s="55" customFormat="1">
      <c r="A328" s="75"/>
      <c r="B328" s="75"/>
    </row>
    <row r="329" spans="1:2" s="55" customFormat="1">
      <c r="A329" s="75"/>
      <c r="B329" s="75"/>
    </row>
    <row r="330" spans="1:2" s="55" customFormat="1">
      <c r="A330" s="75"/>
      <c r="B330" s="75"/>
    </row>
    <row r="331" spans="1:2" s="55" customFormat="1">
      <c r="A331" s="75"/>
      <c r="B331" s="75"/>
    </row>
    <row r="332" spans="1:2" s="55" customFormat="1">
      <c r="A332" s="75"/>
      <c r="B332" s="75"/>
    </row>
    <row r="333" spans="1:2" s="55" customFormat="1">
      <c r="A333" s="75"/>
      <c r="B333" s="75"/>
    </row>
    <row r="334" spans="1:2" s="55" customFormat="1">
      <c r="A334" s="75"/>
      <c r="B334" s="75"/>
    </row>
    <row r="335" spans="1:2" s="55" customFormat="1">
      <c r="A335" s="75"/>
      <c r="B335" s="75"/>
    </row>
    <row r="336" spans="1:2" s="55" customFormat="1">
      <c r="A336" s="75"/>
      <c r="B336" s="75"/>
    </row>
    <row r="337" spans="1:2" s="55" customFormat="1">
      <c r="A337" s="75"/>
      <c r="B337" s="75"/>
    </row>
    <row r="338" spans="1:2" s="55" customFormat="1">
      <c r="A338" s="75"/>
      <c r="B338" s="75"/>
    </row>
    <row r="339" spans="1:2" s="55" customFormat="1">
      <c r="A339" s="75"/>
      <c r="B339" s="75"/>
    </row>
    <row r="340" spans="1:2" s="55" customFormat="1">
      <c r="A340" s="75"/>
      <c r="B340" s="75"/>
    </row>
    <row r="341" spans="1:2" s="55" customFormat="1">
      <c r="A341" s="75"/>
      <c r="B341" s="75"/>
    </row>
    <row r="342" spans="1:2" s="55" customFormat="1">
      <c r="A342" s="75"/>
      <c r="B342" s="75"/>
    </row>
    <row r="343" spans="1:2" s="55" customFormat="1">
      <c r="A343" s="75"/>
      <c r="B343" s="75"/>
    </row>
    <row r="344" spans="1:2" s="55" customFormat="1">
      <c r="A344" s="75"/>
      <c r="B344" s="75"/>
    </row>
    <row r="345" spans="1:2" s="55" customFormat="1">
      <c r="A345" s="75"/>
      <c r="B345" s="75"/>
    </row>
    <row r="346" spans="1:2" s="55" customFormat="1">
      <c r="A346" s="75"/>
      <c r="B346" s="75"/>
    </row>
    <row r="347" spans="1:2" s="55" customFormat="1">
      <c r="A347" s="75"/>
      <c r="B347" s="75"/>
    </row>
    <row r="348" spans="1:2" s="55" customFormat="1">
      <c r="A348" s="75"/>
      <c r="B348" s="75"/>
    </row>
    <row r="349" spans="1:2" s="55" customFormat="1">
      <c r="A349" s="75"/>
      <c r="B349" s="75"/>
    </row>
    <row r="350" spans="1:2" s="55" customFormat="1">
      <c r="A350" s="75"/>
      <c r="B350" s="75"/>
    </row>
    <row r="351" spans="1:2" s="55" customFormat="1">
      <c r="A351" s="75"/>
      <c r="B351" s="75"/>
    </row>
    <row r="352" spans="1:2" s="55" customFormat="1">
      <c r="A352" s="75"/>
      <c r="B352" s="75"/>
    </row>
    <row r="353" spans="1:2" s="55" customFormat="1">
      <c r="A353" s="75"/>
      <c r="B353" s="75"/>
    </row>
    <row r="354" spans="1:2" s="55" customFormat="1">
      <c r="A354" s="75"/>
      <c r="B354" s="75"/>
    </row>
    <row r="355" spans="1:2" s="55" customFormat="1">
      <c r="A355" s="75"/>
      <c r="B355" s="75"/>
    </row>
    <row r="356" spans="1:2" s="55" customFormat="1">
      <c r="A356" s="75"/>
      <c r="B356" s="75"/>
    </row>
    <row r="357" spans="1:2" s="55" customFormat="1">
      <c r="A357" s="75"/>
      <c r="B357" s="75"/>
    </row>
    <row r="358" spans="1:2" s="55" customFormat="1">
      <c r="A358" s="75"/>
      <c r="B358" s="75"/>
    </row>
    <row r="359" spans="1:2" s="55" customFormat="1">
      <c r="A359" s="75"/>
      <c r="B359" s="75"/>
    </row>
    <row r="360" spans="1:2" s="55" customFormat="1">
      <c r="A360" s="75"/>
      <c r="B360" s="75"/>
    </row>
    <row r="361" spans="1:2" s="55" customFormat="1">
      <c r="A361" s="75"/>
      <c r="B361" s="75"/>
    </row>
    <row r="362" spans="1:2" s="55" customFormat="1">
      <c r="A362" s="75"/>
      <c r="B362" s="75"/>
    </row>
    <row r="363" spans="1:2" s="55" customFormat="1">
      <c r="A363" s="75"/>
      <c r="B363" s="75"/>
    </row>
    <row r="364" spans="1:2" s="55" customFormat="1">
      <c r="A364" s="75"/>
      <c r="B364" s="75"/>
    </row>
    <row r="365" spans="1:2" s="55" customFormat="1">
      <c r="A365" s="75"/>
      <c r="B365" s="75"/>
    </row>
    <row r="366" spans="1:2" s="55" customFormat="1">
      <c r="A366" s="75"/>
      <c r="B366" s="75"/>
    </row>
    <row r="367" spans="1:2" s="55" customFormat="1">
      <c r="A367" s="75"/>
      <c r="B367" s="75"/>
    </row>
    <row r="368" spans="1:2" s="55" customFormat="1">
      <c r="A368" s="75"/>
      <c r="B368" s="75"/>
    </row>
    <row r="369" spans="1:2" s="55" customFormat="1">
      <c r="A369" s="75"/>
      <c r="B369" s="75"/>
    </row>
    <row r="370" spans="1:2" s="55" customFormat="1">
      <c r="A370" s="75"/>
      <c r="B370" s="75"/>
    </row>
    <row r="371" spans="1:2" s="55" customFormat="1">
      <c r="A371" s="75"/>
      <c r="B371" s="75"/>
    </row>
    <row r="372" spans="1:2" s="55" customFormat="1">
      <c r="A372" s="75"/>
      <c r="B372" s="75"/>
    </row>
    <row r="373" spans="1:2" s="55" customFormat="1">
      <c r="A373" s="75"/>
      <c r="B373" s="75"/>
    </row>
    <row r="374" spans="1:2" s="55" customFormat="1">
      <c r="A374" s="75"/>
      <c r="B374" s="75"/>
    </row>
    <row r="375" spans="1:2" s="55" customFormat="1">
      <c r="A375" s="75"/>
      <c r="B375" s="75"/>
    </row>
    <row r="376" spans="1:2" s="55" customFormat="1">
      <c r="A376" s="75"/>
      <c r="B376" s="75"/>
    </row>
    <row r="377" spans="1:2" s="55" customFormat="1">
      <c r="A377" s="75"/>
      <c r="B377" s="75"/>
    </row>
    <row r="378" spans="1:2" s="55" customFormat="1">
      <c r="A378" s="75"/>
      <c r="B378" s="75"/>
    </row>
    <row r="379" spans="1:2" s="55" customFormat="1">
      <c r="A379" s="75"/>
      <c r="B379" s="75"/>
    </row>
    <row r="380" spans="1:2" s="55" customFormat="1">
      <c r="A380" s="75"/>
      <c r="B380" s="75"/>
    </row>
    <row r="381" spans="1:2" s="55" customFormat="1">
      <c r="A381" s="75"/>
      <c r="B381" s="75"/>
    </row>
    <row r="382" spans="1:2" s="55" customFormat="1">
      <c r="A382" s="75"/>
      <c r="B382" s="75"/>
    </row>
    <row r="383" spans="1:2" s="55" customFormat="1">
      <c r="A383" s="75"/>
      <c r="B383" s="75"/>
    </row>
    <row r="384" spans="1:2" s="55" customFormat="1">
      <c r="A384" s="75"/>
      <c r="B384" s="75"/>
    </row>
    <row r="385" spans="1:2" s="55" customFormat="1">
      <c r="A385" s="75"/>
      <c r="B385" s="75"/>
    </row>
    <row r="386" spans="1:2" s="55" customFormat="1">
      <c r="A386" s="75"/>
      <c r="B386" s="75"/>
    </row>
    <row r="387" spans="1:2" s="55" customFormat="1">
      <c r="A387" s="75"/>
      <c r="B387" s="75"/>
    </row>
    <row r="388" spans="1:2" s="55" customFormat="1">
      <c r="A388" s="75"/>
      <c r="B388" s="75"/>
    </row>
    <row r="389" spans="1:2" s="55" customFormat="1">
      <c r="A389" s="75"/>
      <c r="B389" s="75"/>
    </row>
    <row r="390" spans="1:2" s="55" customFormat="1">
      <c r="A390" s="75"/>
      <c r="B390" s="75"/>
    </row>
    <row r="391" spans="1:2" s="55" customFormat="1">
      <c r="A391" s="75"/>
      <c r="B391" s="75"/>
    </row>
    <row r="392" spans="1:2" s="55" customFormat="1">
      <c r="A392" s="75"/>
      <c r="B392" s="75"/>
    </row>
    <row r="393" spans="1:2" s="55" customFormat="1">
      <c r="A393" s="75"/>
      <c r="B393" s="75"/>
    </row>
    <row r="394" spans="1:2" s="55" customFormat="1">
      <c r="A394" s="75"/>
      <c r="B394" s="75"/>
    </row>
    <row r="395" spans="1:2" s="55" customFormat="1">
      <c r="A395" s="75"/>
      <c r="B395" s="75"/>
    </row>
    <row r="396" spans="1:2" s="55" customFormat="1">
      <c r="A396" s="75"/>
      <c r="B396" s="75"/>
    </row>
    <row r="397" spans="1:2" s="55" customFormat="1">
      <c r="A397" s="75"/>
      <c r="B397" s="75"/>
    </row>
    <row r="398" spans="1:2" s="55" customFormat="1">
      <c r="A398" s="75"/>
      <c r="B398" s="75"/>
    </row>
    <row r="399" spans="1:2" s="55" customFormat="1">
      <c r="A399" s="75"/>
      <c r="B399" s="75"/>
    </row>
    <row r="400" spans="1:2" s="55" customFormat="1">
      <c r="A400" s="75"/>
      <c r="B400" s="75"/>
    </row>
    <row r="401" spans="1:2" s="55" customFormat="1">
      <c r="A401" s="75"/>
      <c r="B401" s="75"/>
    </row>
    <row r="402" spans="1:2" s="55" customFormat="1">
      <c r="A402" s="75"/>
      <c r="B402" s="75"/>
    </row>
    <row r="403" spans="1:2" s="55" customFormat="1">
      <c r="A403" s="75"/>
      <c r="B403" s="75"/>
    </row>
    <row r="404" spans="1:2" s="55" customFormat="1">
      <c r="A404" s="75"/>
      <c r="B404" s="75"/>
    </row>
    <row r="405" spans="1:2" s="55" customFormat="1">
      <c r="A405" s="75"/>
      <c r="B405" s="75"/>
    </row>
    <row r="406" spans="1:2" s="55" customFormat="1">
      <c r="A406" s="75"/>
      <c r="B406" s="75"/>
    </row>
    <row r="407" spans="1:2" s="55" customFormat="1">
      <c r="A407" s="75"/>
      <c r="B407" s="75"/>
    </row>
    <row r="408" spans="1:2" s="55" customFormat="1">
      <c r="A408" s="75"/>
      <c r="B408" s="75"/>
    </row>
    <row r="409" spans="1:2" s="55" customFormat="1">
      <c r="A409" s="75"/>
      <c r="B409" s="75"/>
    </row>
    <row r="410" spans="1:2" s="55" customFormat="1">
      <c r="A410" s="75"/>
      <c r="B410" s="75"/>
    </row>
    <row r="411" spans="1:2" s="55" customFormat="1">
      <c r="A411" s="75"/>
      <c r="B411" s="75"/>
    </row>
    <row r="412" spans="1:2" s="55" customFormat="1">
      <c r="A412" s="75"/>
      <c r="B412" s="75"/>
    </row>
    <row r="413" spans="1:2" s="55" customFormat="1">
      <c r="A413" s="75"/>
      <c r="B413" s="75"/>
    </row>
    <row r="414" spans="1:2" s="55" customFormat="1">
      <c r="A414" s="75"/>
      <c r="B414" s="75"/>
    </row>
    <row r="415" spans="1:2" s="55" customFormat="1">
      <c r="A415" s="75"/>
      <c r="B415" s="75"/>
    </row>
    <row r="416" spans="1:2" s="55" customFormat="1">
      <c r="A416" s="75"/>
      <c r="B416" s="75"/>
    </row>
    <row r="417" spans="1:2" s="55" customFormat="1">
      <c r="A417" s="75"/>
      <c r="B417" s="75"/>
    </row>
    <row r="418" spans="1:2" s="55" customFormat="1">
      <c r="A418" s="75"/>
      <c r="B418" s="75"/>
    </row>
    <row r="419" spans="1:2" s="55" customFormat="1">
      <c r="A419" s="75"/>
      <c r="B419" s="75"/>
    </row>
    <row r="420" spans="1:2" s="55" customFormat="1">
      <c r="A420" s="75"/>
      <c r="B420" s="75"/>
    </row>
    <row r="421" spans="1:2" s="55" customFormat="1">
      <c r="A421" s="75"/>
      <c r="B421" s="75"/>
    </row>
    <row r="422" spans="1:2" s="55" customFormat="1">
      <c r="A422" s="75"/>
      <c r="B422" s="75"/>
    </row>
    <row r="423" spans="1:2" s="55" customFormat="1">
      <c r="A423" s="75"/>
      <c r="B423" s="75"/>
    </row>
    <row r="424" spans="1:2" s="55" customFormat="1">
      <c r="A424" s="75"/>
      <c r="B424" s="75"/>
    </row>
    <row r="425" spans="1:2" s="55" customFormat="1">
      <c r="A425" s="75"/>
      <c r="B425" s="75"/>
    </row>
    <row r="426" spans="1:2" s="55" customFormat="1">
      <c r="A426" s="75"/>
      <c r="B426" s="75"/>
    </row>
    <row r="427" spans="1:2" s="55" customFormat="1">
      <c r="A427" s="75"/>
      <c r="B427" s="75"/>
    </row>
    <row r="428" spans="1:2" s="55" customFormat="1">
      <c r="A428" s="75"/>
      <c r="B428" s="75"/>
    </row>
    <row r="429" spans="1:2" s="55" customFormat="1">
      <c r="A429" s="75"/>
      <c r="B429" s="75"/>
    </row>
    <row r="430" spans="1:2" s="55" customFormat="1">
      <c r="A430" s="75"/>
      <c r="B430" s="75"/>
    </row>
    <row r="431" spans="1:2" s="55" customFormat="1">
      <c r="A431" s="75"/>
      <c r="B431" s="75"/>
    </row>
    <row r="432" spans="1:2" s="55" customFormat="1">
      <c r="A432" s="75"/>
      <c r="B432" s="75"/>
    </row>
    <row r="433" spans="1:2" s="55" customFormat="1">
      <c r="A433" s="75"/>
      <c r="B433" s="75"/>
    </row>
    <row r="434" spans="1:2" s="55" customFormat="1">
      <c r="A434" s="75"/>
      <c r="B434" s="75"/>
    </row>
    <row r="435" spans="1:2" s="55" customFormat="1">
      <c r="A435" s="75"/>
      <c r="B435" s="75"/>
    </row>
    <row r="436" spans="1:2" s="55" customFormat="1">
      <c r="A436" s="75"/>
      <c r="B436" s="75"/>
    </row>
    <row r="437" spans="1:2" s="55" customFormat="1">
      <c r="A437" s="75"/>
      <c r="B437" s="75"/>
    </row>
    <row r="438" spans="1:2" s="55" customFormat="1">
      <c r="A438" s="75"/>
      <c r="B438" s="75"/>
    </row>
    <row r="439" spans="1:2" s="55" customFormat="1">
      <c r="A439" s="75"/>
      <c r="B439" s="75"/>
    </row>
    <row r="440" spans="1:2" s="55" customFormat="1">
      <c r="A440" s="75"/>
      <c r="B440" s="75"/>
    </row>
    <row r="441" spans="1:2" s="55" customFormat="1">
      <c r="A441" s="75"/>
      <c r="B441" s="75"/>
    </row>
    <row r="442" spans="1:2" s="55" customFormat="1">
      <c r="A442" s="75"/>
      <c r="B442" s="75"/>
    </row>
    <row r="443" spans="1:2" s="55" customFormat="1">
      <c r="A443" s="75"/>
      <c r="B443" s="75"/>
    </row>
    <row r="444" spans="1:2" s="55" customFormat="1">
      <c r="A444" s="75"/>
      <c r="B444" s="75"/>
    </row>
    <row r="445" spans="1:2" s="55" customFormat="1">
      <c r="A445" s="75"/>
      <c r="B445" s="75"/>
    </row>
    <row r="446" spans="1:2" s="55" customFormat="1">
      <c r="A446" s="75"/>
      <c r="B446" s="75"/>
    </row>
    <row r="447" spans="1:2" s="55" customFormat="1">
      <c r="A447" s="75"/>
      <c r="B447" s="75"/>
    </row>
    <row r="448" spans="1:2" s="55" customFormat="1">
      <c r="A448" s="75"/>
      <c r="B448" s="75"/>
    </row>
    <row r="449" spans="1:2" s="55" customFormat="1">
      <c r="A449" s="75"/>
      <c r="B449" s="75"/>
    </row>
    <row r="450" spans="1:2" s="55" customFormat="1">
      <c r="A450" s="75"/>
      <c r="B450" s="75"/>
    </row>
    <row r="451" spans="1:2" s="55" customFormat="1">
      <c r="A451" s="75"/>
      <c r="B451" s="75"/>
    </row>
    <row r="452" spans="1:2" s="55" customFormat="1">
      <c r="A452" s="75"/>
      <c r="B452" s="75"/>
    </row>
    <row r="453" spans="1:2" s="55" customFormat="1">
      <c r="A453" s="75"/>
      <c r="B453" s="75"/>
    </row>
    <row r="454" spans="1:2" s="55" customFormat="1">
      <c r="A454" s="75"/>
      <c r="B454" s="75"/>
    </row>
    <row r="455" spans="1:2" s="55" customFormat="1">
      <c r="A455" s="75"/>
      <c r="B455" s="75"/>
    </row>
    <row r="456" spans="1:2" s="55" customFormat="1">
      <c r="A456" s="75"/>
      <c r="B456" s="75"/>
    </row>
    <row r="457" spans="1:2" s="55" customFormat="1">
      <c r="A457" s="75"/>
      <c r="B457" s="75"/>
    </row>
    <row r="458" spans="1:2" s="55" customFormat="1">
      <c r="A458" s="75"/>
      <c r="B458" s="75"/>
    </row>
    <row r="459" spans="1:2" s="55" customFormat="1">
      <c r="A459" s="75"/>
      <c r="B459" s="75"/>
    </row>
    <row r="460" spans="1:2" s="55" customFormat="1">
      <c r="A460" s="75"/>
      <c r="B460" s="75"/>
    </row>
    <row r="461" spans="1:2" s="55" customFormat="1">
      <c r="A461" s="75"/>
      <c r="B461" s="75"/>
    </row>
    <row r="462" spans="1:2" s="55" customFormat="1">
      <c r="A462" s="75"/>
      <c r="B462" s="75"/>
    </row>
    <row r="463" spans="1:2" s="55" customFormat="1">
      <c r="A463" s="75"/>
      <c r="B463" s="75"/>
    </row>
    <row r="464" spans="1:2" s="55" customFormat="1">
      <c r="A464" s="75"/>
      <c r="B464" s="75"/>
    </row>
    <row r="465" spans="1:2" s="55" customFormat="1">
      <c r="A465" s="75"/>
      <c r="B465" s="75"/>
    </row>
    <row r="466" spans="1:2" s="55" customFormat="1">
      <c r="A466" s="75"/>
      <c r="B466" s="75"/>
    </row>
    <row r="467" spans="1:2" s="55" customFormat="1">
      <c r="A467" s="75"/>
      <c r="B467" s="75"/>
    </row>
    <row r="468" spans="1:2" s="55" customFormat="1">
      <c r="A468" s="75"/>
      <c r="B468" s="75"/>
    </row>
    <row r="469" spans="1:2" s="55" customFormat="1">
      <c r="A469" s="75"/>
      <c r="B469" s="75"/>
    </row>
    <row r="470" spans="1:2" s="55" customFormat="1">
      <c r="A470" s="75"/>
      <c r="B470" s="75"/>
    </row>
    <row r="471" spans="1:2" s="55" customFormat="1">
      <c r="A471" s="75"/>
      <c r="B471" s="75"/>
    </row>
    <row r="472" spans="1:2" s="55" customFormat="1">
      <c r="A472" s="75"/>
      <c r="B472" s="75"/>
    </row>
    <row r="473" spans="1:2" s="55" customFormat="1">
      <c r="A473" s="75"/>
      <c r="B473" s="75"/>
    </row>
    <row r="474" spans="1:2" s="55" customFormat="1">
      <c r="A474" s="75"/>
      <c r="B474" s="75"/>
    </row>
    <row r="475" spans="1:2" s="55" customFormat="1">
      <c r="A475" s="75"/>
      <c r="B475" s="75"/>
    </row>
    <row r="476" spans="1:2" s="55" customFormat="1">
      <c r="A476" s="75"/>
      <c r="B476" s="75"/>
    </row>
    <row r="477" spans="1:2" s="55" customFormat="1">
      <c r="A477" s="75"/>
      <c r="B477" s="75"/>
    </row>
    <row r="478" spans="1:2" s="55" customFormat="1">
      <c r="A478" s="75"/>
      <c r="B478" s="75"/>
    </row>
    <row r="479" spans="1:2" s="55" customFormat="1">
      <c r="A479" s="75"/>
      <c r="B479" s="75"/>
    </row>
    <row r="480" spans="1:2" s="55" customFormat="1">
      <c r="A480" s="75"/>
      <c r="B480" s="75"/>
    </row>
    <row r="481" spans="1:2" s="55" customFormat="1">
      <c r="A481" s="75"/>
      <c r="B481" s="75"/>
    </row>
    <row r="482" spans="1:2" s="55" customFormat="1">
      <c r="A482" s="75"/>
      <c r="B482" s="75"/>
    </row>
    <row r="483" spans="1:2" s="55" customFormat="1">
      <c r="A483" s="75"/>
      <c r="B483" s="75"/>
    </row>
    <row r="484" spans="1:2" s="55" customFormat="1">
      <c r="A484" s="75"/>
      <c r="B484" s="75"/>
    </row>
    <row r="485" spans="1:2" s="55" customFormat="1">
      <c r="A485" s="75"/>
      <c r="B485" s="75"/>
    </row>
    <row r="486" spans="1:2" s="55" customFormat="1">
      <c r="A486" s="75"/>
      <c r="B486" s="75"/>
    </row>
    <row r="487" spans="1:2" s="55" customFormat="1">
      <c r="A487" s="75"/>
      <c r="B487" s="75"/>
    </row>
    <row r="488" spans="1:2" s="55" customFormat="1">
      <c r="A488" s="75"/>
      <c r="B488" s="75"/>
    </row>
    <row r="489" spans="1:2" s="55" customFormat="1">
      <c r="A489" s="75"/>
      <c r="B489" s="75"/>
    </row>
    <row r="490" spans="1:2" s="55" customFormat="1">
      <c r="A490" s="75"/>
      <c r="B490" s="75"/>
    </row>
    <row r="491" spans="1:2" s="55" customFormat="1">
      <c r="A491" s="75"/>
      <c r="B491" s="75"/>
    </row>
    <row r="492" spans="1:2" s="55" customFormat="1">
      <c r="A492" s="75"/>
      <c r="B492" s="75"/>
    </row>
    <row r="493" spans="1:2" s="55" customFormat="1">
      <c r="A493" s="75"/>
      <c r="B493" s="75"/>
    </row>
    <row r="494" spans="1:2" s="55" customFormat="1">
      <c r="A494" s="75"/>
      <c r="B494" s="75"/>
    </row>
    <row r="495" spans="1:2" s="55" customFormat="1">
      <c r="A495" s="75"/>
      <c r="B495" s="75"/>
    </row>
    <row r="496" spans="1:2" s="55" customFormat="1">
      <c r="A496" s="75"/>
      <c r="B496" s="75"/>
    </row>
    <row r="497" spans="1:2" s="55" customFormat="1">
      <c r="A497" s="75"/>
      <c r="B497" s="75"/>
    </row>
    <row r="498" spans="1:2" s="55" customFormat="1">
      <c r="A498" s="75"/>
      <c r="B498" s="75"/>
    </row>
    <row r="499" spans="1:2" s="55" customFormat="1">
      <c r="A499" s="75"/>
      <c r="B499" s="75"/>
    </row>
    <row r="500" spans="1:2" s="55" customFormat="1">
      <c r="A500" s="75"/>
      <c r="B500" s="75"/>
    </row>
    <row r="501" spans="1:2" s="55" customFormat="1">
      <c r="A501" s="75"/>
      <c r="B501" s="75"/>
    </row>
    <row r="502" spans="1:2" s="55" customFormat="1">
      <c r="A502" s="75"/>
      <c r="B502" s="75"/>
    </row>
    <row r="503" spans="1:2" s="55" customFormat="1">
      <c r="A503" s="75"/>
      <c r="B503" s="75"/>
    </row>
    <row r="504" spans="1:2" s="55" customFormat="1">
      <c r="A504" s="75"/>
      <c r="B504" s="75"/>
    </row>
    <row r="505" spans="1:2" s="55" customFormat="1">
      <c r="A505" s="75"/>
      <c r="B505" s="75"/>
    </row>
    <row r="506" spans="1:2" s="55" customFormat="1">
      <c r="A506" s="75"/>
      <c r="B506" s="75"/>
    </row>
    <row r="507" spans="1:2" s="55" customFormat="1">
      <c r="A507" s="75"/>
      <c r="B507" s="75"/>
    </row>
    <row r="508" spans="1:2" s="55" customFormat="1">
      <c r="A508" s="75"/>
      <c r="B508" s="75"/>
    </row>
    <row r="509" spans="1:2" s="55" customFormat="1">
      <c r="A509" s="75"/>
      <c r="B509" s="75"/>
    </row>
    <row r="510" spans="1:2" s="55" customFormat="1">
      <c r="A510" s="75"/>
      <c r="B510" s="75"/>
    </row>
    <row r="511" spans="1:2" s="55" customFormat="1">
      <c r="A511" s="75"/>
      <c r="B511" s="75"/>
    </row>
    <row r="512" spans="1:2" s="55" customFormat="1">
      <c r="A512" s="75"/>
      <c r="B512" s="75"/>
    </row>
    <row r="513" spans="1:2" s="55" customFormat="1">
      <c r="A513" s="75"/>
      <c r="B513" s="75"/>
    </row>
    <row r="514" spans="1:2" s="55" customFormat="1">
      <c r="A514" s="75"/>
      <c r="B514" s="75"/>
    </row>
    <row r="515" spans="1:2" s="55" customFormat="1">
      <c r="A515" s="75"/>
      <c r="B515" s="75"/>
    </row>
    <row r="516" spans="1:2" s="55" customFormat="1">
      <c r="A516" s="75"/>
      <c r="B516" s="75"/>
    </row>
    <row r="517" spans="1:2" s="55" customFormat="1">
      <c r="A517" s="75"/>
      <c r="B517" s="75"/>
    </row>
    <row r="518" spans="1:2" s="55" customFormat="1">
      <c r="A518" s="75"/>
      <c r="B518" s="75"/>
    </row>
    <row r="519" spans="1:2" s="55" customFormat="1">
      <c r="A519" s="75"/>
      <c r="B519" s="75"/>
    </row>
    <row r="520" spans="1:2" s="55" customFormat="1">
      <c r="A520" s="75"/>
      <c r="B520" s="75"/>
    </row>
    <row r="521" spans="1:2" s="55" customFormat="1">
      <c r="A521" s="75"/>
      <c r="B521" s="75"/>
    </row>
    <row r="522" spans="1:2" s="55" customFormat="1">
      <c r="A522" s="75"/>
      <c r="B522" s="75"/>
    </row>
    <row r="523" spans="1:2" s="55" customFormat="1">
      <c r="A523" s="75"/>
      <c r="B523" s="75"/>
    </row>
    <row r="524" spans="1:2" s="55" customFormat="1">
      <c r="A524" s="75"/>
      <c r="B524" s="75"/>
    </row>
    <row r="525" spans="1:2" s="55" customFormat="1">
      <c r="A525" s="75"/>
      <c r="B525" s="75"/>
    </row>
    <row r="526" spans="1:2" s="55" customFormat="1">
      <c r="A526" s="75"/>
      <c r="B526" s="75"/>
    </row>
    <row r="527" spans="1:2" s="55" customFormat="1">
      <c r="A527" s="75"/>
      <c r="B527" s="75"/>
    </row>
    <row r="528" spans="1:2" s="55" customFormat="1">
      <c r="A528" s="75"/>
      <c r="B528" s="75"/>
    </row>
    <row r="529" spans="1:2" s="55" customFormat="1">
      <c r="A529" s="75"/>
      <c r="B529" s="75"/>
    </row>
    <row r="530" spans="1:2" s="55" customFormat="1">
      <c r="A530" s="75"/>
      <c r="B530" s="75"/>
    </row>
    <row r="531" spans="1:2" s="55" customFormat="1">
      <c r="A531" s="75"/>
      <c r="B531" s="75"/>
    </row>
    <row r="532" spans="1:2" s="55" customFormat="1">
      <c r="A532" s="75"/>
      <c r="B532" s="75"/>
    </row>
    <row r="533" spans="1:2" s="55" customFormat="1">
      <c r="A533" s="75"/>
      <c r="B533" s="75"/>
    </row>
    <row r="534" spans="1:2" s="55" customFormat="1">
      <c r="A534" s="75"/>
      <c r="B534" s="75"/>
    </row>
    <row r="535" spans="1:2" s="55" customFormat="1">
      <c r="A535" s="75"/>
      <c r="B535" s="75"/>
    </row>
    <row r="536" spans="1:2" s="55" customFormat="1">
      <c r="A536" s="75"/>
      <c r="B536" s="75"/>
    </row>
    <row r="537" spans="1:2" s="55" customFormat="1">
      <c r="A537" s="75"/>
      <c r="B537" s="75"/>
    </row>
    <row r="538" spans="1:2" s="55" customFormat="1">
      <c r="A538" s="75"/>
      <c r="B538" s="75"/>
    </row>
    <row r="539" spans="1:2" s="55" customFormat="1">
      <c r="A539" s="75"/>
      <c r="B539" s="75"/>
    </row>
    <row r="540" spans="1:2" s="55" customFormat="1">
      <c r="A540" s="75"/>
      <c r="B540" s="75"/>
    </row>
    <row r="541" spans="1:2" s="55" customFormat="1">
      <c r="A541" s="75"/>
      <c r="B541" s="75"/>
    </row>
    <row r="542" spans="1:2" s="55" customFormat="1">
      <c r="A542" s="75"/>
      <c r="B542" s="75"/>
    </row>
    <row r="543" spans="1:2" s="55" customFormat="1">
      <c r="A543" s="75"/>
      <c r="B543" s="75"/>
    </row>
    <row r="544" spans="1:2" s="55" customFormat="1">
      <c r="A544" s="75"/>
      <c r="B544" s="75"/>
    </row>
    <row r="545" spans="1:2" s="55" customFormat="1">
      <c r="A545" s="75"/>
      <c r="B545" s="75"/>
    </row>
    <row r="546" spans="1:2" s="55" customFormat="1">
      <c r="A546" s="75"/>
      <c r="B546" s="75"/>
    </row>
    <row r="547" spans="1:2" s="55" customFormat="1">
      <c r="A547" s="75"/>
      <c r="B547" s="75"/>
    </row>
    <row r="548" spans="1:2" s="55" customFormat="1">
      <c r="A548" s="75"/>
      <c r="B548" s="75"/>
    </row>
    <row r="549" spans="1:2" s="55" customFormat="1">
      <c r="A549" s="75"/>
      <c r="B549" s="75"/>
    </row>
    <row r="550" spans="1:2" s="55" customFormat="1">
      <c r="A550" s="75"/>
      <c r="B550" s="75"/>
    </row>
    <row r="551" spans="1:2" s="55" customFormat="1">
      <c r="A551" s="75"/>
      <c r="B551" s="75"/>
    </row>
    <row r="552" spans="1:2" s="55" customFormat="1">
      <c r="A552" s="75"/>
      <c r="B552" s="75"/>
    </row>
    <row r="553" spans="1:2" s="55" customFormat="1">
      <c r="A553" s="75"/>
      <c r="B553" s="75"/>
    </row>
    <row r="554" spans="1:2" s="55" customFormat="1">
      <c r="A554" s="75"/>
      <c r="B554" s="75"/>
    </row>
    <row r="555" spans="1:2" s="55" customFormat="1">
      <c r="A555" s="75"/>
      <c r="B555" s="75"/>
    </row>
    <row r="556" spans="1:2" s="55" customFormat="1">
      <c r="A556" s="75"/>
      <c r="B556" s="75"/>
    </row>
    <row r="557" spans="1:2" s="55" customFormat="1">
      <c r="A557" s="75"/>
      <c r="B557" s="75"/>
    </row>
    <row r="558" spans="1:2" s="55" customFormat="1">
      <c r="A558" s="75"/>
      <c r="B558" s="75"/>
    </row>
    <row r="559" spans="1:2" s="55" customFormat="1">
      <c r="A559" s="75"/>
      <c r="B559" s="75"/>
    </row>
    <row r="560" spans="1:2" s="55" customFormat="1">
      <c r="A560" s="75"/>
      <c r="B560" s="75"/>
    </row>
    <row r="561" spans="1:2" s="55" customFormat="1">
      <c r="A561" s="75"/>
      <c r="B561" s="75"/>
    </row>
    <row r="562" spans="1:2" s="55" customFormat="1">
      <c r="A562" s="75"/>
      <c r="B562" s="75"/>
    </row>
    <row r="563" spans="1:2" s="55" customFormat="1">
      <c r="A563" s="75"/>
      <c r="B563" s="75"/>
    </row>
    <row r="564" spans="1:2" s="55" customFormat="1">
      <c r="A564" s="75"/>
      <c r="B564" s="75"/>
    </row>
    <row r="565" spans="1:2" s="55" customFormat="1">
      <c r="A565" s="75"/>
      <c r="B565" s="75"/>
    </row>
    <row r="566" spans="1:2" s="55" customFormat="1">
      <c r="A566" s="75"/>
      <c r="B566" s="75"/>
    </row>
    <row r="567" spans="1:2" s="55" customFormat="1">
      <c r="A567" s="75"/>
      <c r="B567" s="75"/>
    </row>
    <row r="568" spans="1:2" s="55" customFormat="1">
      <c r="A568" s="75"/>
      <c r="B568" s="75"/>
    </row>
    <row r="569" spans="1:2" s="55" customFormat="1">
      <c r="A569" s="75"/>
      <c r="B569" s="75"/>
    </row>
    <row r="570" spans="1:2" s="55" customFormat="1">
      <c r="A570" s="75"/>
      <c r="B570" s="75"/>
    </row>
    <row r="571" spans="1:2" s="55" customFormat="1">
      <c r="A571" s="75"/>
      <c r="B571" s="75"/>
    </row>
    <row r="572" spans="1:2" s="55" customFormat="1">
      <c r="A572" s="75"/>
      <c r="B572" s="75"/>
    </row>
    <row r="573" spans="1:2" s="55" customFormat="1">
      <c r="A573" s="75"/>
      <c r="B573" s="75"/>
    </row>
    <row r="574" spans="1:2" s="55" customFormat="1">
      <c r="A574" s="75"/>
      <c r="B574" s="75"/>
    </row>
    <row r="575" spans="1:2" s="55" customFormat="1">
      <c r="A575" s="75"/>
      <c r="B575" s="75"/>
    </row>
    <row r="576" spans="1:2" s="55" customFormat="1">
      <c r="A576" s="75"/>
      <c r="B576" s="75"/>
    </row>
    <row r="577" spans="1:2" s="55" customFormat="1">
      <c r="A577" s="75"/>
      <c r="B577" s="75"/>
    </row>
    <row r="578" spans="1:2" s="55" customFormat="1">
      <c r="A578" s="75"/>
      <c r="B578" s="75"/>
    </row>
    <row r="579" spans="1:2" s="55" customFormat="1">
      <c r="A579" s="75"/>
      <c r="B579" s="75"/>
    </row>
    <row r="580" spans="1:2" s="55" customFormat="1">
      <c r="A580" s="75"/>
      <c r="B580" s="75"/>
    </row>
    <row r="581" spans="1:2" s="55" customFormat="1">
      <c r="A581" s="75"/>
      <c r="B581" s="75"/>
    </row>
    <row r="582" spans="1:2" s="55" customFormat="1">
      <c r="A582" s="75"/>
      <c r="B582" s="75"/>
    </row>
    <row r="583" spans="1:2" s="55" customFormat="1">
      <c r="A583" s="75"/>
      <c r="B583" s="75"/>
    </row>
    <row r="584" spans="1:2" s="55" customFormat="1">
      <c r="A584" s="75"/>
      <c r="B584" s="75"/>
    </row>
    <row r="585" spans="1:2" s="55" customFormat="1">
      <c r="A585" s="75"/>
      <c r="B585" s="75"/>
    </row>
    <row r="586" spans="1:2" s="55" customFormat="1">
      <c r="A586" s="75"/>
      <c r="B586" s="75"/>
    </row>
    <row r="587" spans="1:2" s="55" customFormat="1">
      <c r="A587" s="75"/>
      <c r="B587" s="75"/>
    </row>
    <row r="588" spans="1:2" s="55" customFormat="1">
      <c r="A588" s="75"/>
      <c r="B588" s="75"/>
    </row>
    <row r="589" spans="1:2" s="55" customFormat="1">
      <c r="A589" s="75"/>
      <c r="B589" s="75"/>
    </row>
    <row r="590" spans="1:2" s="55" customFormat="1">
      <c r="A590" s="75"/>
      <c r="B590" s="75"/>
    </row>
    <row r="591" spans="1:2" s="55" customFormat="1">
      <c r="A591" s="75"/>
      <c r="B591" s="75"/>
    </row>
    <row r="592" spans="1:2" s="55" customFormat="1">
      <c r="A592" s="75"/>
      <c r="B592" s="75"/>
    </row>
    <row r="593" spans="1:2" s="55" customFormat="1">
      <c r="A593" s="75"/>
      <c r="B593" s="75"/>
    </row>
    <row r="594" spans="1:2" s="55" customFormat="1">
      <c r="A594" s="75"/>
      <c r="B594" s="75"/>
    </row>
    <row r="595" spans="1:2" s="55" customFormat="1">
      <c r="A595" s="75"/>
      <c r="B595" s="75"/>
    </row>
    <row r="596" spans="1:2" s="55" customFormat="1">
      <c r="A596" s="75"/>
      <c r="B596" s="75"/>
    </row>
    <row r="597" spans="1:2" s="55" customFormat="1">
      <c r="A597" s="75"/>
      <c r="B597" s="75"/>
    </row>
    <row r="598" spans="1:2" s="55" customFormat="1">
      <c r="A598" s="75"/>
      <c r="B598" s="75"/>
    </row>
    <row r="599" spans="1:2" s="55" customFormat="1">
      <c r="A599" s="75"/>
      <c r="B599" s="75"/>
    </row>
    <row r="600" spans="1:2" s="55" customFormat="1">
      <c r="A600" s="75"/>
      <c r="B600" s="75"/>
    </row>
    <row r="601" spans="1:2" s="55" customFormat="1">
      <c r="A601" s="75"/>
      <c r="B601" s="75"/>
    </row>
    <row r="602" spans="1:2" s="55" customFormat="1">
      <c r="A602" s="75"/>
      <c r="B602" s="75"/>
    </row>
    <row r="603" spans="1:2" s="55" customFormat="1">
      <c r="A603" s="75"/>
      <c r="B603" s="75"/>
    </row>
    <row r="604" spans="1:2" s="55" customFormat="1">
      <c r="A604" s="75"/>
      <c r="B604" s="75"/>
    </row>
    <row r="605" spans="1:2" s="55" customFormat="1">
      <c r="A605" s="75"/>
      <c r="B605" s="75"/>
    </row>
    <row r="606" spans="1:2" s="55" customFormat="1">
      <c r="A606" s="75"/>
      <c r="B606" s="75"/>
    </row>
    <row r="607" spans="1:2" s="55" customFormat="1">
      <c r="A607" s="75"/>
      <c r="B607" s="75"/>
    </row>
    <row r="608" spans="1:2" s="55" customFormat="1">
      <c r="A608" s="75"/>
      <c r="B608" s="75"/>
    </row>
    <row r="609" spans="1:2" s="55" customFormat="1">
      <c r="A609" s="75"/>
      <c r="B609" s="75"/>
    </row>
    <row r="610" spans="1:2" s="55" customFormat="1">
      <c r="A610" s="75"/>
      <c r="B610" s="75"/>
    </row>
    <row r="611" spans="1:2" s="55" customFormat="1">
      <c r="A611" s="75"/>
      <c r="B611" s="75"/>
    </row>
    <row r="612" spans="1:2" s="55" customFormat="1">
      <c r="A612" s="75"/>
      <c r="B612" s="75"/>
    </row>
    <row r="613" spans="1:2" s="55" customFormat="1">
      <c r="A613" s="75"/>
      <c r="B613" s="75"/>
    </row>
    <row r="614" spans="1:2" s="55" customFormat="1">
      <c r="A614" s="75"/>
      <c r="B614" s="75"/>
    </row>
    <row r="615" spans="1:2" s="55" customFormat="1">
      <c r="A615" s="75"/>
      <c r="B615" s="75"/>
    </row>
    <row r="616" spans="1:2" s="55" customFormat="1">
      <c r="A616" s="75"/>
      <c r="B616" s="75"/>
    </row>
    <row r="617" spans="1:2" s="55" customFormat="1">
      <c r="A617" s="75"/>
      <c r="B617" s="75"/>
    </row>
    <row r="618" spans="1:2" s="55" customFormat="1">
      <c r="A618" s="75"/>
      <c r="B618" s="75"/>
    </row>
    <row r="619" spans="1:2" s="55" customFormat="1">
      <c r="A619" s="75"/>
      <c r="B619" s="75"/>
    </row>
    <row r="620" spans="1:2" s="55" customFormat="1">
      <c r="A620" s="75"/>
      <c r="B620" s="75"/>
    </row>
    <row r="621" spans="1:2" s="55" customFormat="1">
      <c r="A621" s="75"/>
      <c r="B621" s="75"/>
    </row>
    <row r="622" spans="1:2" s="55" customFormat="1">
      <c r="A622" s="75"/>
      <c r="B622" s="75"/>
    </row>
    <row r="623" spans="1:2" s="55" customFormat="1">
      <c r="A623" s="75"/>
      <c r="B623" s="75"/>
    </row>
    <row r="624" spans="1:2" s="55" customFormat="1">
      <c r="A624" s="75"/>
      <c r="B624" s="75"/>
    </row>
    <row r="625" spans="1:2" s="55" customFormat="1">
      <c r="A625" s="75"/>
      <c r="B625" s="75"/>
    </row>
    <row r="626" spans="1:2" s="55" customFormat="1">
      <c r="A626" s="75"/>
      <c r="B626" s="75"/>
    </row>
    <row r="627" spans="1:2" s="55" customFormat="1">
      <c r="A627" s="75"/>
      <c r="B627" s="75"/>
    </row>
    <row r="628" spans="1:2" s="55" customFormat="1">
      <c r="A628" s="75"/>
      <c r="B628" s="75"/>
    </row>
    <row r="629" spans="1:2" s="55" customFormat="1">
      <c r="A629" s="75"/>
      <c r="B629" s="75"/>
    </row>
    <row r="630" spans="1:2" s="55" customFormat="1">
      <c r="A630" s="75"/>
      <c r="B630" s="75"/>
    </row>
    <row r="631" spans="1:2" s="55" customFormat="1">
      <c r="A631" s="75"/>
      <c r="B631" s="75"/>
    </row>
    <row r="632" spans="1:2" s="55" customFormat="1">
      <c r="A632" s="75"/>
      <c r="B632" s="75"/>
    </row>
    <row r="633" spans="1:2" s="55" customFormat="1">
      <c r="A633" s="75"/>
      <c r="B633" s="75"/>
    </row>
    <row r="634" spans="1:2" s="55" customFormat="1">
      <c r="A634" s="75"/>
      <c r="B634" s="75"/>
    </row>
    <row r="635" spans="1:2" s="55" customFormat="1">
      <c r="A635" s="75"/>
      <c r="B635" s="75"/>
    </row>
    <row r="636" spans="1:2" s="55" customFormat="1">
      <c r="A636" s="75"/>
      <c r="B636" s="75"/>
    </row>
    <row r="637" spans="1:2" s="55" customFormat="1">
      <c r="A637" s="75"/>
      <c r="B637" s="75"/>
    </row>
    <row r="638" spans="1:2" s="55" customFormat="1">
      <c r="A638" s="75"/>
      <c r="B638" s="75"/>
    </row>
    <row r="639" spans="1:2" s="55" customFormat="1">
      <c r="A639" s="75"/>
      <c r="B639" s="75"/>
    </row>
    <row r="640" spans="1:2" s="55" customFormat="1">
      <c r="A640" s="75"/>
      <c r="B640" s="75"/>
    </row>
    <row r="641" spans="1:2" s="55" customFormat="1">
      <c r="A641" s="75"/>
      <c r="B641" s="75"/>
    </row>
    <row r="642" spans="1:2" s="55" customFormat="1">
      <c r="A642" s="75"/>
      <c r="B642" s="75"/>
    </row>
    <row r="643" spans="1:2" s="55" customFormat="1">
      <c r="A643" s="75"/>
      <c r="B643" s="75"/>
    </row>
    <row r="644" spans="1:2" s="55" customFormat="1">
      <c r="A644" s="75"/>
      <c r="B644" s="75"/>
    </row>
    <row r="645" spans="1:2" s="55" customFormat="1">
      <c r="A645" s="75"/>
      <c r="B645" s="75"/>
    </row>
    <row r="646" spans="1:2" s="55" customFormat="1">
      <c r="A646" s="75"/>
      <c r="B646" s="75"/>
    </row>
    <row r="647" spans="1:2" s="55" customFormat="1">
      <c r="A647" s="75"/>
      <c r="B647" s="75"/>
    </row>
    <row r="648" spans="1:2" s="55" customFormat="1">
      <c r="A648" s="75"/>
      <c r="B648" s="75"/>
    </row>
    <row r="649" spans="1:2" s="55" customFormat="1">
      <c r="A649" s="75"/>
      <c r="B649" s="75"/>
    </row>
    <row r="650" spans="1:2" s="55" customFormat="1">
      <c r="A650" s="75"/>
      <c r="B650" s="75"/>
    </row>
    <row r="651" spans="1:2" s="55" customFormat="1">
      <c r="A651" s="75"/>
      <c r="B651" s="75"/>
    </row>
    <row r="652" spans="1:2" s="55" customFormat="1">
      <c r="A652" s="75"/>
      <c r="B652" s="75"/>
    </row>
    <row r="653" spans="1:2" s="55" customFormat="1">
      <c r="A653" s="75"/>
      <c r="B653" s="75"/>
    </row>
    <row r="654" spans="1:2" s="55" customFormat="1">
      <c r="A654" s="75"/>
      <c r="B654" s="75"/>
    </row>
    <row r="655" spans="1:2" s="55" customFormat="1">
      <c r="A655" s="75"/>
      <c r="B655" s="75"/>
    </row>
    <row r="656" spans="1:2" s="55" customFormat="1">
      <c r="A656" s="75"/>
      <c r="B656" s="75"/>
    </row>
    <row r="657" spans="1:2" s="55" customFormat="1">
      <c r="A657" s="75"/>
      <c r="B657" s="75"/>
    </row>
    <row r="658" spans="1:2" s="55" customFormat="1">
      <c r="A658" s="75"/>
      <c r="B658" s="75"/>
    </row>
    <row r="659" spans="1:2" s="55" customFormat="1">
      <c r="A659" s="75"/>
      <c r="B659" s="75"/>
    </row>
    <row r="660" spans="1:2" s="55" customFormat="1">
      <c r="A660" s="75"/>
      <c r="B660" s="75"/>
    </row>
    <row r="661" spans="1:2" s="55" customFormat="1">
      <c r="A661" s="75"/>
      <c r="B661" s="75"/>
    </row>
    <row r="662" spans="1:2" s="55" customFormat="1">
      <c r="A662" s="75"/>
      <c r="B662" s="75"/>
    </row>
    <row r="663" spans="1:2" s="55" customFormat="1">
      <c r="A663" s="75"/>
      <c r="B663" s="75"/>
    </row>
    <row r="664" spans="1:2" s="55" customFormat="1">
      <c r="A664" s="75"/>
      <c r="B664" s="75"/>
    </row>
    <row r="665" spans="1:2" s="55" customFormat="1">
      <c r="A665" s="75"/>
      <c r="B665" s="75"/>
    </row>
    <row r="666" spans="1:2" s="55" customFormat="1">
      <c r="A666" s="75"/>
      <c r="B666" s="75"/>
    </row>
    <row r="667" spans="1:2" s="55" customFormat="1">
      <c r="A667" s="75"/>
      <c r="B667" s="75"/>
    </row>
    <row r="668" spans="1:2" s="55" customFormat="1">
      <c r="A668" s="75"/>
      <c r="B668" s="75"/>
    </row>
    <row r="669" spans="1:2" s="55" customFormat="1">
      <c r="A669" s="75"/>
      <c r="B669" s="75"/>
    </row>
    <row r="670" spans="1:2" s="55" customFormat="1">
      <c r="A670" s="75"/>
      <c r="B670" s="75"/>
    </row>
    <row r="671" spans="1:2" s="55" customFormat="1">
      <c r="A671" s="75"/>
      <c r="B671" s="75"/>
    </row>
    <row r="672" spans="1:2" s="55" customFormat="1">
      <c r="A672" s="75"/>
      <c r="B672" s="75"/>
    </row>
    <row r="673" spans="1:2" s="55" customFormat="1">
      <c r="A673" s="75"/>
      <c r="B673" s="75"/>
    </row>
    <row r="674" spans="1:2" s="55" customFormat="1">
      <c r="A674" s="75"/>
      <c r="B674" s="75"/>
    </row>
    <row r="675" spans="1:2" s="55" customFormat="1">
      <c r="A675" s="75"/>
      <c r="B675" s="75"/>
    </row>
    <row r="676" spans="1:2" s="55" customFormat="1">
      <c r="A676" s="75"/>
      <c r="B676" s="75"/>
    </row>
    <row r="677" spans="1:2" s="55" customFormat="1">
      <c r="A677" s="75"/>
      <c r="B677" s="75"/>
    </row>
    <row r="678" spans="1:2" s="55" customFormat="1">
      <c r="A678" s="75"/>
      <c r="B678" s="75"/>
    </row>
    <row r="679" spans="1:2" s="55" customFormat="1">
      <c r="A679" s="75"/>
      <c r="B679" s="75"/>
    </row>
    <row r="680" spans="1:2" s="55" customFormat="1">
      <c r="A680" s="75"/>
      <c r="B680" s="75"/>
    </row>
    <row r="681" spans="1:2" s="55" customFormat="1">
      <c r="A681" s="75"/>
      <c r="B681" s="75"/>
    </row>
    <row r="682" spans="1:2" s="55" customFormat="1">
      <c r="A682" s="75"/>
      <c r="B682" s="75"/>
    </row>
    <row r="683" spans="1:2" s="55" customFormat="1">
      <c r="A683" s="75"/>
      <c r="B683" s="75"/>
    </row>
    <row r="684" spans="1:2" s="55" customFormat="1">
      <c r="A684" s="75"/>
      <c r="B684" s="75"/>
    </row>
    <row r="685" spans="1:2" s="55" customFormat="1">
      <c r="A685" s="75"/>
      <c r="B685" s="75"/>
    </row>
    <row r="686" spans="1:2" s="55" customFormat="1">
      <c r="A686" s="75"/>
      <c r="B686" s="75"/>
    </row>
    <row r="687" spans="1:2" s="55" customFormat="1">
      <c r="A687" s="75"/>
      <c r="B687" s="75"/>
    </row>
    <row r="688" spans="1:2" s="55" customFormat="1">
      <c r="A688" s="75"/>
      <c r="B688" s="75"/>
    </row>
    <row r="689" spans="1:2" s="55" customFormat="1">
      <c r="A689" s="75"/>
      <c r="B689" s="75"/>
    </row>
    <row r="690" spans="1:2" s="55" customFormat="1">
      <c r="A690" s="75"/>
      <c r="B690" s="75"/>
    </row>
    <row r="691" spans="1:2" s="55" customFormat="1">
      <c r="A691" s="75"/>
      <c r="B691" s="75"/>
    </row>
    <row r="692" spans="1:2" s="55" customFormat="1">
      <c r="A692" s="75"/>
      <c r="B692" s="75"/>
    </row>
    <row r="693" spans="1:2" s="55" customFormat="1">
      <c r="A693" s="75"/>
      <c r="B693" s="75"/>
    </row>
    <row r="694" spans="1:2" s="55" customFormat="1">
      <c r="A694" s="75"/>
      <c r="B694" s="75"/>
    </row>
    <row r="695" spans="1:2" s="55" customFormat="1">
      <c r="A695" s="75"/>
      <c r="B695" s="75"/>
    </row>
    <row r="696" spans="1:2" s="55" customFormat="1">
      <c r="A696" s="75"/>
      <c r="B696" s="75"/>
    </row>
    <row r="697" spans="1:2" s="55" customFormat="1">
      <c r="A697" s="75"/>
      <c r="B697" s="75"/>
    </row>
    <row r="698" spans="1:2" s="55" customFormat="1">
      <c r="A698" s="75"/>
      <c r="B698" s="75"/>
    </row>
    <row r="699" spans="1:2" s="55" customFormat="1">
      <c r="A699" s="75"/>
      <c r="B699" s="75"/>
    </row>
    <row r="700" spans="1:2" s="55" customFormat="1">
      <c r="A700" s="75"/>
      <c r="B700" s="75"/>
    </row>
    <row r="701" spans="1:2" s="55" customFormat="1">
      <c r="A701" s="75"/>
      <c r="B701" s="75"/>
    </row>
    <row r="702" spans="1:2" s="55" customFormat="1">
      <c r="A702" s="75"/>
      <c r="B702" s="75"/>
    </row>
    <row r="703" spans="1:2" s="55" customFormat="1">
      <c r="A703" s="75"/>
      <c r="B703" s="75"/>
    </row>
    <row r="704" spans="1:2" s="55" customFormat="1">
      <c r="A704" s="75"/>
      <c r="B704" s="75"/>
    </row>
    <row r="705" spans="1:2" s="55" customFormat="1">
      <c r="A705" s="75"/>
      <c r="B705" s="75"/>
    </row>
    <row r="706" spans="1:2" s="55" customFormat="1">
      <c r="A706" s="75"/>
      <c r="B706" s="75"/>
    </row>
    <row r="707" spans="1:2" s="55" customFormat="1">
      <c r="A707" s="75"/>
      <c r="B707" s="75"/>
    </row>
    <row r="708" spans="1:2" s="55" customFormat="1">
      <c r="A708" s="75"/>
      <c r="B708" s="75"/>
    </row>
    <row r="709" spans="1:2" s="55" customFormat="1">
      <c r="A709" s="75"/>
      <c r="B709" s="75"/>
    </row>
    <row r="710" spans="1:2" s="55" customFormat="1">
      <c r="A710" s="75"/>
      <c r="B710" s="75"/>
    </row>
    <row r="711" spans="1:2" s="55" customFormat="1">
      <c r="A711" s="75"/>
      <c r="B711" s="75"/>
    </row>
    <row r="712" spans="1:2" s="55" customFormat="1">
      <c r="A712" s="75"/>
      <c r="B712" s="75"/>
    </row>
    <row r="713" spans="1:2" s="55" customFormat="1">
      <c r="A713" s="75"/>
      <c r="B713" s="75"/>
    </row>
    <row r="714" spans="1:2" s="55" customFormat="1">
      <c r="A714" s="75"/>
      <c r="B714" s="75"/>
    </row>
    <row r="715" spans="1:2" s="55" customFormat="1">
      <c r="A715" s="75"/>
      <c r="B715" s="75"/>
    </row>
    <row r="716" spans="1:2" s="55" customFormat="1">
      <c r="A716" s="75"/>
      <c r="B716" s="75"/>
    </row>
    <row r="717" spans="1:2" s="55" customFormat="1">
      <c r="A717" s="75"/>
      <c r="B717" s="75"/>
    </row>
    <row r="718" spans="1:2" s="55" customFormat="1">
      <c r="A718" s="75"/>
      <c r="B718" s="75"/>
    </row>
    <row r="719" spans="1:2" s="55" customFormat="1">
      <c r="A719" s="75"/>
      <c r="B719" s="75"/>
    </row>
    <row r="720" spans="1:2" s="55" customFormat="1">
      <c r="A720" s="75"/>
      <c r="B720" s="75"/>
    </row>
    <row r="721" spans="1:2" s="55" customFormat="1">
      <c r="A721" s="75"/>
      <c r="B721" s="75"/>
    </row>
    <row r="722" spans="1:2" s="55" customFormat="1">
      <c r="A722" s="75"/>
      <c r="B722" s="75"/>
    </row>
    <row r="723" spans="1:2" s="55" customFormat="1">
      <c r="A723" s="75"/>
      <c r="B723" s="75"/>
    </row>
    <row r="724" spans="1:2" s="55" customFormat="1">
      <c r="A724" s="75"/>
      <c r="B724" s="75"/>
    </row>
    <row r="725" spans="1:2" s="55" customFormat="1">
      <c r="A725" s="75"/>
      <c r="B725" s="75"/>
    </row>
    <row r="726" spans="1:2" s="55" customFormat="1">
      <c r="A726" s="75"/>
      <c r="B726" s="75"/>
    </row>
    <row r="727" spans="1:2" s="55" customFormat="1">
      <c r="A727" s="75"/>
      <c r="B727" s="75"/>
    </row>
    <row r="728" spans="1:2" s="55" customFormat="1">
      <c r="A728" s="75"/>
      <c r="B728" s="75"/>
    </row>
    <row r="729" spans="1:2" s="55" customFormat="1">
      <c r="A729" s="75"/>
      <c r="B729" s="75"/>
    </row>
    <row r="730" spans="1:2" s="55" customFormat="1">
      <c r="A730" s="75"/>
      <c r="B730" s="75"/>
    </row>
    <row r="731" spans="1:2" s="55" customFormat="1">
      <c r="A731" s="75"/>
      <c r="B731" s="75"/>
    </row>
    <row r="732" spans="1:2" s="55" customFormat="1">
      <c r="A732" s="75"/>
      <c r="B732" s="75"/>
    </row>
    <row r="733" spans="1:2" s="55" customFormat="1">
      <c r="A733" s="75"/>
      <c r="B733" s="75"/>
    </row>
    <row r="734" spans="1:2" s="55" customFormat="1">
      <c r="A734" s="75"/>
      <c r="B734" s="75"/>
    </row>
    <row r="735" spans="1:2" s="55" customFormat="1">
      <c r="A735" s="75"/>
      <c r="B735" s="75"/>
    </row>
    <row r="736" spans="1:2" s="55" customFormat="1">
      <c r="A736" s="75"/>
      <c r="B736" s="75"/>
    </row>
    <row r="737" spans="1:2" s="55" customFormat="1">
      <c r="A737" s="75"/>
      <c r="B737" s="75"/>
    </row>
    <row r="738" spans="1:2" s="55" customFormat="1">
      <c r="A738" s="75"/>
      <c r="B738" s="75"/>
    </row>
    <row r="739" spans="1:2" s="55" customFormat="1">
      <c r="A739" s="75"/>
      <c r="B739" s="75"/>
    </row>
    <row r="740" spans="1:2" s="55" customFormat="1">
      <c r="A740" s="75"/>
      <c r="B740" s="75"/>
    </row>
    <row r="741" spans="1:2" s="55" customFormat="1">
      <c r="A741" s="75"/>
      <c r="B741" s="75"/>
    </row>
    <row r="742" spans="1:2" s="55" customFormat="1">
      <c r="A742" s="75"/>
      <c r="B742" s="75"/>
    </row>
    <row r="743" spans="1:2" s="55" customFormat="1">
      <c r="A743" s="75"/>
      <c r="B743" s="75"/>
    </row>
    <row r="744" spans="1:2" s="55" customFormat="1">
      <c r="A744" s="75"/>
      <c r="B744" s="75"/>
    </row>
    <row r="745" spans="1:2" s="55" customFormat="1">
      <c r="A745" s="75"/>
      <c r="B745" s="75"/>
    </row>
    <row r="746" spans="1:2" s="55" customFormat="1">
      <c r="A746" s="75"/>
      <c r="B746" s="75"/>
    </row>
    <row r="747" spans="1:2" s="55" customFormat="1">
      <c r="A747" s="75"/>
      <c r="B747" s="75"/>
    </row>
    <row r="748" spans="1:2" s="55" customFormat="1">
      <c r="A748" s="75"/>
      <c r="B748" s="75"/>
    </row>
    <row r="749" spans="1:2" s="55" customFormat="1">
      <c r="A749" s="75"/>
      <c r="B749" s="75"/>
    </row>
    <row r="750" spans="1:2" s="55" customFormat="1">
      <c r="A750" s="75"/>
      <c r="B750" s="75"/>
    </row>
    <row r="751" spans="1:2" s="55" customFormat="1">
      <c r="A751" s="75"/>
      <c r="B751" s="75"/>
    </row>
    <row r="752" spans="1:2" s="55" customFormat="1">
      <c r="A752" s="75"/>
      <c r="B752" s="75"/>
    </row>
    <row r="753" spans="1:2" s="55" customFormat="1">
      <c r="A753" s="75"/>
      <c r="B753" s="75"/>
    </row>
    <row r="754" spans="1:2" s="55" customFormat="1">
      <c r="A754" s="75"/>
      <c r="B754" s="75"/>
    </row>
    <row r="755" spans="1:2" s="55" customFormat="1">
      <c r="A755" s="75"/>
      <c r="B755" s="75"/>
    </row>
    <row r="756" spans="1:2" s="55" customFormat="1">
      <c r="A756" s="75"/>
      <c r="B756" s="75"/>
    </row>
    <row r="757" spans="1:2" s="55" customFormat="1">
      <c r="A757" s="75"/>
      <c r="B757" s="75"/>
    </row>
    <row r="758" spans="1:2" s="55" customFormat="1">
      <c r="A758" s="75"/>
      <c r="B758" s="75"/>
    </row>
    <row r="759" spans="1:2" s="55" customFormat="1">
      <c r="A759" s="75"/>
      <c r="B759" s="75"/>
    </row>
    <row r="760" spans="1:2" s="55" customFormat="1">
      <c r="A760" s="75"/>
      <c r="B760" s="75"/>
    </row>
    <row r="761" spans="1:2" s="55" customFormat="1">
      <c r="A761" s="75"/>
      <c r="B761" s="75"/>
    </row>
    <row r="762" spans="1:2" s="55" customFormat="1">
      <c r="A762" s="75"/>
      <c r="B762" s="75"/>
    </row>
    <row r="763" spans="1:2" s="55" customFormat="1">
      <c r="A763" s="75"/>
      <c r="B763" s="75"/>
    </row>
    <row r="764" spans="1:2" s="55" customFormat="1">
      <c r="A764" s="75"/>
      <c r="B764" s="75"/>
    </row>
    <row r="765" spans="1:2" s="55" customFormat="1">
      <c r="A765" s="75"/>
      <c r="B765" s="75"/>
    </row>
    <row r="766" spans="1:2" s="55" customFormat="1">
      <c r="A766" s="75"/>
      <c r="B766" s="75"/>
    </row>
    <row r="767" spans="1:2" s="55" customFormat="1">
      <c r="A767" s="75"/>
      <c r="B767" s="75"/>
    </row>
    <row r="768" spans="1:2" s="55" customFormat="1">
      <c r="A768" s="75"/>
      <c r="B768" s="75"/>
    </row>
    <row r="769" spans="1:2" s="55" customFormat="1">
      <c r="A769" s="75"/>
      <c r="B769" s="75"/>
    </row>
    <row r="770" spans="1:2" s="55" customFormat="1">
      <c r="A770" s="75"/>
      <c r="B770" s="75"/>
    </row>
    <row r="771" spans="1:2" s="55" customFormat="1">
      <c r="A771" s="75"/>
      <c r="B771" s="75"/>
    </row>
    <row r="772" spans="1:2" s="55" customFormat="1">
      <c r="A772" s="75"/>
      <c r="B772" s="75"/>
    </row>
    <row r="773" spans="1:2" s="55" customFormat="1">
      <c r="A773" s="75"/>
      <c r="B773" s="75"/>
    </row>
    <row r="774" spans="1:2" s="55" customFormat="1">
      <c r="A774" s="75"/>
      <c r="B774" s="75"/>
    </row>
    <row r="775" spans="1:2" s="55" customFormat="1">
      <c r="A775" s="75"/>
      <c r="B775" s="75"/>
    </row>
    <row r="776" spans="1:2" s="55" customFormat="1">
      <c r="A776" s="75"/>
      <c r="B776" s="75"/>
    </row>
    <row r="777" spans="1:2" s="55" customFormat="1">
      <c r="A777" s="75"/>
      <c r="B777" s="75"/>
    </row>
    <row r="778" spans="1:2" s="55" customFormat="1">
      <c r="A778" s="75"/>
      <c r="B778" s="75"/>
    </row>
    <row r="779" spans="1:2" s="55" customFormat="1">
      <c r="A779" s="75"/>
      <c r="B779" s="75"/>
    </row>
    <row r="780" spans="1:2" s="55" customFormat="1">
      <c r="A780" s="75"/>
      <c r="B780" s="75"/>
    </row>
    <row r="781" spans="1:2" s="55" customFormat="1">
      <c r="A781" s="75"/>
      <c r="B781" s="75"/>
    </row>
    <row r="782" spans="1:2" s="55" customFormat="1">
      <c r="A782" s="75"/>
      <c r="B782" s="75"/>
    </row>
    <row r="783" spans="1:2" s="55" customFormat="1">
      <c r="A783" s="75"/>
      <c r="B783" s="75"/>
    </row>
    <row r="784" spans="1:2" s="55" customFormat="1">
      <c r="A784" s="75"/>
      <c r="B784" s="75"/>
    </row>
    <row r="785" spans="1:2" s="55" customFormat="1">
      <c r="A785" s="75"/>
      <c r="B785" s="75"/>
    </row>
    <row r="786" spans="1:2" s="55" customFormat="1">
      <c r="A786" s="75"/>
      <c r="B786" s="75"/>
    </row>
    <row r="787" spans="1:2" s="55" customFormat="1">
      <c r="A787" s="75"/>
      <c r="B787" s="75"/>
    </row>
    <row r="788" spans="1:2" s="55" customFormat="1">
      <c r="A788" s="75"/>
      <c r="B788" s="75"/>
    </row>
    <row r="789" spans="1:2" s="55" customFormat="1">
      <c r="A789" s="75"/>
      <c r="B789" s="75"/>
    </row>
    <row r="790" spans="1:2" s="55" customFormat="1">
      <c r="A790" s="75"/>
      <c r="B790" s="75"/>
    </row>
    <row r="791" spans="1:2" s="55" customFormat="1">
      <c r="A791" s="75"/>
      <c r="B791" s="75"/>
    </row>
    <row r="792" spans="1:2" s="55" customFormat="1">
      <c r="A792" s="75"/>
      <c r="B792" s="75"/>
    </row>
    <row r="793" spans="1:2" s="55" customFormat="1">
      <c r="A793" s="75"/>
      <c r="B793" s="75"/>
    </row>
    <row r="794" spans="1:2" s="55" customFormat="1">
      <c r="A794" s="75"/>
      <c r="B794" s="75"/>
    </row>
    <row r="795" spans="1:2" s="55" customFormat="1">
      <c r="A795" s="75"/>
      <c r="B795" s="75"/>
    </row>
    <row r="796" spans="1:2" s="55" customFormat="1">
      <c r="A796" s="75"/>
      <c r="B796" s="75"/>
    </row>
    <row r="797" spans="1:2" s="55" customFormat="1">
      <c r="A797" s="75"/>
      <c r="B797" s="75"/>
    </row>
    <row r="798" spans="1:2" s="55" customFormat="1">
      <c r="A798" s="75"/>
      <c r="B798" s="75"/>
    </row>
    <row r="799" spans="1:2" s="55" customFormat="1">
      <c r="A799" s="75"/>
      <c r="B799" s="75"/>
    </row>
    <row r="800" spans="1:2" s="55" customFormat="1">
      <c r="A800" s="75"/>
      <c r="B800" s="75"/>
    </row>
    <row r="801" spans="1:2" s="55" customFormat="1">
      <c r="A801" s="75"/>
      <c r="B801" s="75"/>
    </row>
    <row r="802" spans="1:2" s="55" customFormat="1">
      <c r="A802" s="75"/>
      <c r="B802" s="75"/>
    </row>
    <row r="803" spans="1:2" s="55" customFormat="1">
      <c r="A803" s="75"/>
      <c r="B803" s="75"/>
    </row>
    <row r="804" spans="1:2" s="55" customFormat="1">
      <c r="A804" s="75"/>
      <c r="B804" s="75"/>
    </row>
    <row r="805" spans="1:2" s="55" customFormat="1">
      <c r="A805" s="75"/>
      <c r="B805" s="75"/>
    </row>
    <row r="806" spans="1:2" s="55" customFormat="1">
      <c r="A806" s="75"/>
      <c r="B806" s="75"/>
    </row>
    <row r="807" spans="1:2" s="55" customFormat="1">
      <c r="A807" s="75"/>
      <c r="B807" s="75"/>
    </row>
    <row r="808" spans="1:2" s="55" customFormat="1">
      <c r="A808" s="75"/>
      <c r="B808" s="75"/>
    </row>
    <row r="809" spans="1:2" s="55" customFormat="1">
      <c r="A809" s="75"/>
      <c r="B809" s="75"/>
    </row>
    <row r="810" spans="1:2" s="55" customFormat="1">
      <c r="A810" s="75"/>
      <c r="B810" s="75"/>
    </row>
    <row r="811" spans="1:2" s="55" customFormat="1">
      <c r="A811" s="75"/>
      <c r="B811" s="75"/>
    </row>
    <row r="812" spans="1:2" s="55" customFormat="1">
      <c r="A812" s="75"/>
      <c r="B812" s="75"/>
    </row>
    <row r="813" spans="1:2" s="55" customFormat="1">
      <c r="A813" s="75"/>
      <c r="B813" s="75"/>
    </row>
    <row r="814" spans="1:2" s="55" customFormat="1">
      <c r="A814" s="75"/>
      <c r="B814" s="75"/>
    </row>
    <row r="815" spans="1:2" s="55" customFormat="1">
      <c r="A815" s="75"/>
      <c r="B815" s="75"/>
    </row>
    <row r="816" spans="1:2" s="55" customFormat="1">
      <c r="A816" s="75"/>
      <c r="B816" s="75"/>
    </row>
    <row r="817" spans="1:2" s="55" customFormat="1">
      <c r="A817" s="75"/>
      <c r="B817" s="75"/>
    </row>
    <row r="818" spans="1:2" s="55" customFormat="1">
      <c r="A818" s="75"/>
      <c r="B818" s="75"/>
    </row>
    <row r="819" spans="1:2" s="55" customFormat="1">
      <c r="A819" s="75"/>
      <c r="B819" s="75"/>
    </row>
    <row r="820" spans="1:2" s="55" customFormat="1">
      <c r="A820" s="75"/>
      <c r="B820" s="75"/>
    </row>
    <row r="821" spans="1:2" s="55" customFormat="1">
      <c r="A821" s="75"/>
      <c r="B821" s="75"/>
    </row>
    <row r="822" spans="1:2" s="55" customFormat="1">
      <c r="A822" s="75"/>
      <c r="B822" s="75"/>
    </row>
    <row r="823" spans="1:2" s="55" customFormat="1">
      <c r="A823" s="75"/>
      <c r="B823" s="75"/>
    </row>
    <row r="824" spans="1:2" s="55" customFormat="1">
      <c r="A824" s="75"/>
      <c r="B824" s="75"/>
    </row>
    <row r="825" spans="1:2" s="55" customFormat="1">
      <c r="A825" s="75"/>
      <c r="B825" s="75"/>
    </row>
    <row r="826" spans="1:2" s="55" customFormat="1">
      <c r="A826" s="75"/>
      <c r="B826" s="75"/>
    </row>
    <row r="827" spans="1:2" s="55" customFormat="1">
      <c r="A827" s="75"/>
      <c r="B827" s="75"/>
    </row>
    <row r="828" spans="1:2" s="55" customFormat="1">
      <c r="A828" s="75"/>
      <c r="B828" s="75"/>
    </row>
    <row r="829" spans="1:2" s="55" customFormat="1">
      <c r="A829" s="75"/>
      <c r="B829" s="75"/>
    </row>
    <row r="830" spans="1:2" s="55" customFormat="1">
      <c r="A830" s="75"/>
      <c r="B830" s="75"/>
    </row>
    <row r="831" spans="1:2" s="55" customFormat="1">
      <c r="A831" s="75"/>
      <c r="B831" s="75"/>
    </row>
    <row r="832" spans="1:2" s="55" customFormat="1">
      <c r="A832" s="75"/>
      <c r="B832" s="75"/>
    </row>
    <row r="833" spans="1:2" s="55" customFormat="1">
      <c r="A833" s="75"/>
      <c r="B833" s="75"/>
    </row>
    <row r="834" spans="1:2" s="55" customFormat="1">
      <c r="A834" s="75"/>
      <c r="B834" s="75"/>
    </row>
    <row r="835" spans="1:2" s="55" customFormat="1">
      <c r="A835" s="75"/>
      <c r="B835" s="75"/>
    </row>
    <row r="836" spans="1:2" s="55" customFormat="1">
      <c r="A836" s="75"/>
      <c r="B836" s="75"/>
    </row>
    <row r="837" spans="1:2" s="55" customFormat="1">
      <c r="A837" s="75"/>
      <c r="B837" s="75"/>
    </row>
    <row r="838" spans="1:2" s="55" customFormat="1">
      <c r="A838" s="75"/>
      <c r="B838" s="75"/>
    </row>
    <row r="839" spans="1:2" s="55" customFormat="1">
      <c r="A839" s="75"/>
      <c r="B839" s="75"/>
    </row>
    <row r="840" spans="1:2" s="55" customFormat="1">
      <c r="A840" s="75"/>
      <c r="B840" s="75"/>
    </row>
    <row r="841" spans="1:2" s="55" customFormat="1">
      <c r="A841" s="75"/>
      <c r="B841" s="75"/>
    </row>
    <row r="842" spans="1:2" s="55" customFormat="1">
      <c r="A842" s="75"/>
      <c r="B842" s="75"/>
    </row>
    <row r="843" spans="1:2" s="55" customFormat="1">
      <c r="A843" s="75"/>
      <c r="B843" s="75"/>
    </row>
    <row r="844" spans="1:2" s="55" customFormat="1">
      <c r="A844" s="75"/>
      <c r="B844" s="75"/>
    </row>
    <row r="845" spans="1:2" s="55" customFormat="1">
      <c r="A845" s="75"/>
      <c r="B845" s="75"/>
    </row>
    <row r="846" spans="1:2" s="55" customFormat="1">
      <c r="A846" s="75"/>
      <c r="B846" s="75"/>
    </row>
    <row r="847" spans="1:2" s="55" customFormat="1">
      <c r="A847" s="75"/>
      <c r="B847" s="75"/>
    </row>
    <row r="848" spans="1:2" s="55" customFormat="1">
      <c r="A848" s="75"/>
      <c r="B848" s="75"/>
    </row>
    <row r="849" spans="1:2" s="55" customFormat="1">
      <c r="A849" s="75"/>
      <c r="B849" s="75"/>
    </row>
    <row r="850" spans="1:2" s="55" customFormat="1">
      <c r="A850" s="75"/>
      <c r="B850" s="75"/>
    </row>
    <row r="851" spans="1:2" s="55" customFormat="1">
      <c r="A851" s="75"/>
      <c r="B851" s="75"/>
    </row>
    <row r="852" spans="1:2" s="55" customFormat="1">
      <c r="A852" s="75"/>
      <c r="B852" s="75"/>
    </row>
    <row r="853" spans="1:2" s="55" customFormat="1">
      <c r="A853" s="75"/>
      <c r="B853" s="75"/>
    </row>
    <row r="854" spans="1:2" s="55" customFormat="1">
      <c r="A854" s="75"/>
      <c r="B854" s="75"/>
    </row>
    <row r="855" spans="1:2" s="55" customFormat="1">
      <c r="A855" s="75"/>
      <c r="B855" s="75"/>
    </row>
    <row r="856" spans="1:2" s="55" customFormat="1">
      <c r="A856" s="75"/>
      <c r="B856" s="75"/>
    </row>
    <row r="857" spans="1:2" s="55" customFormat="1">
      <c r="A857" s="75"/>
      <c r="B857" s="75"/>
    </row>
    <row r="858" spans="1:2" s="55" customFormat="1">
      <c r="A858" s="75"/>
      <c r="B858" s="75"/>
    </row>
    <row r="859" spans="1:2" s="55" customFormat="1">
      <c r="A859" s="75"/>
      <c r="B859" s="75"/>
    </row>
    <row r="860" spans="1:2" s="55" customFormat="1">
      <c r="A860" s="75"/>
      <c r="B860" s="75"/>
    </row>
    <row r="861" spans="1:2" s="55" customFormat="1">
      <c r="A861" s="75"/>
      <c r="B861" s="75"/>
    </row>
    <row r="862" spans="1:2" s="55" customFormat="1">
      <c r="A862" s="75"/>
      <c r="B862" s="75"/>
    </row>
    <row r="863" spans="1:2" s="55" customFormat="1">
      <c r="A863" s="75"/>
      <c r="B863" s="75"/>
    </row>
    <row r="864" spans="1:2" s="55" customFormat="1">
      <c r="A864" s="75"/>
      <c r="B864" s="75"/>
    </row>
    <row r="865" spans="1:2" s="55" customFormat="1">
      <c r="A865" s="75"/>
      <c r="B865" s="75"/>
    </row>
    <row r="866" spans="1:2" s="55" customFormat="1">
      <c r="A866" s="75"/>
      <c r="B866" s="75"/>
    </row>
    <row r="867" spans="1:2" s="55" customFormat="1">
      <c r="A867" s="75"/>
      <c r="B867" s="75"/>
    </row>
    <row r="868" spans="1:2" s="55" customFormat="1">
      <c r="A868" s="75"/>
      <c r="B868" s="75"/>
    </row>
    <row r="869" spans="1:2" s="55" customFormat="1">
      <c r="A869" s="75"/>
      <c r="B869" s="75"/>
    </row>
    <row r="870" spans="1:2" s="55" customFormat="1">
      <c r="A870" s="75"/>
      <c r="B870" s="75"/>
    </row>
    <row r="871" spans="1:2" s="55" customFormat="1">
      <c r="A871" s="75"/>
      <c r="B871" s="75"/>
    </row>
    <row r="872" spans="1:2" s="55" customFormat="1">
      <c r="A872" s="75"/>
      <c r="B872" s="75"/>
    </row>
    <row r="873" spans="1:2" s="55" customFormat="1">
      <c r="A873" s="75"/>
      <c r="B873" s="75"/>
    </row>
    <row r="874" spans="1:2" s="55" customFormat="1">
      <c r="A874" s="75"/>
      <c r="B874" s="75"/>
    </row>
    <row r="875" spans="1:2" s="55" customFormat="1">
      <c r="A875" s="75"/>
      <c r="B875" s="75"/>
    </row>
    <row r="876" spans="1:2" s="55" customFormat="1">
      <c r="A876" s="75"/>
      <c r="B876" s="75"/>
    </row>
    <row r="877" spans="1:2" s="55" customFormat="1">
      <c r="A877" s="75"/>
      <c r="B877" s="75"/>
    </row>
    <row r="878" spans="1:2" s="55" customFormat="1">
      <c r="A878" s="75"/>
      <c r="B878" s="75"/>
    </row>
    <row r="879" spans="1:2" s="55" customFormat="1">
      <c r="A879" s="75"/>
      <c r="B879" s="75"/>
    </row>
    <row r="880" spans="1:2" s="55" customFormat="1">
      <c r="A880" s="75"/>
      <c r="B880" s="75"/>
    </row>
    <row r="881" spans="1:2" s="55" customFormat="1">
      <c r="A881" s="75"/>
      <c r="B881" s="75"/>
    </row>
    <row r="882" spans="1:2" s="55" customFormat="1">
      <c r="A882" s="75"/>
      <c r="B882" s="75"/>
    </row>
    <row r="883" spans="1:2" s="55" customFormat="1">
      <c r="A883" s="75"/>
      <c r="B883" s="75"/>
    </row>
    <row r="884" spans="1:2" s="55" customFormat="1">
      <c r="A884" s="75"/>
      <c r="B884" s="75"/>
    </row>
    <row r="885" spans="1:2" s="55" customFormat="1">
      <c r="A885" s="75"/>
      <c r="B885" s="75"/>
    </row>
    <row r="886" spans="1:2" s="55" customFormat="1">
      <c r="A886" s="75"/>
      <c r="B886" s="75"/>
    </row>
    <row r="887" spans="1:2" s="55" customFormat="1">
      <c r="A887" s="75"/>
      <c r="B887" s="75"/>
    </row>
    <row r="888" spans="1:2" s="55" customFormat="1">
      <c r="A888" s="75"/>
      <c r="B888" s="75"/>
    </row>
    <row r="889" spans="1:2" s="55" customFormat="1">
      <c r="A889" s="75"/>
      <c r="B889" s="75"/>
    </row>
    <row r="890" spans="1:2" s="55" customFormat="1">
      <c r="A890" s="75"/>
      <c r="B890" s="75"/>
    </row>
    <row r="891" spans="1:2" s="55" customFormat="1">
      <c r="A891" s="75"/>
      <c r="B891" s="75"/>
    </row>
    <row r="892" spans="1:2" s="55" customFormat="1">
      <c r="A892" s="75"/>
      <c r="B892" s="75"/>
    </row>
    <row r="893" spans="1:2" s="55" customFormat="1">
      <c r="A893" s="75"/>
      <c r="B893" s="75"/>
    </row>
    <row r="894" spans="1:2" s="55" customFormat="1">
      <c r="A894" s="75"/>
      <c r="B894" s="75"/>
    </row>
    <row r="895" spans="1:2" s="55" customFormat="1">
      <c r="A895" s="75"/>
      <c r="B895" s="75"/>
    </row>
    <row r="896" spans="1:2" s="55" customFormat="1">
      <c r="A896" s="75"/>
      <c r="B896" s="75"/>
    </row>
    <row r="897" spans="1:2" s="55" customFormat="1">
      <c r="A897" s="75"/>
      <c r="B897" s="75"/>
    </row>
    <row r="898" spans="1:2" s="55" customFormat="1">
      <c r="A898" s="75"/>
      <c r="B898" s="75"/>
    </row>
    <row r="899" spans="1:2" s="55" customFormat="1">
      <c r="A899" s="75"/>
      <c r="B899" s="75"/>
    </row>
    <row r="900" spans="1:2" s="55" customFormat="1">
      <c r="A900" s="75"/>
      <c r="B900" s="75"/>
    </row>
    <row r="901" spans="1:2" s="55" customFormat="1">
      <c r="A901" s="75"/>
      <c r="B901" s="75"/>
    </row>
    <row r="902" spans="1:2" s="55" customFormat="1">
      <c r="A902" s="75"/>
      <c r="B902" s="75"/>
    </row>
    <row r="903" spans="1:2" s="55" customFormat="1">
      <c r="A903" s="75"/>
      <c r="B903" s="75"/>
    </row>
    <row r="904" spans="1:2" s="55" customFormat="1">
      <c r="A904" s="75"/>
      <c r="B904" s="75"/>
    </row>
    <row r="905" spans="1:2" s="55" customFormat="1">
      <c r="A905" s="75"/>
      <c r="B905" s="75"/>
    </row>
    <row r="906" spans="1:2" s="55" customFormat="1">
      <c r="A906" s="75"/>
      <c r="B906" s="75"/>
    </row>
    <row r="907" spans="1:2" s="55" customFormat="1">
      <c r="A907" s="75"/>
      <c r="B907" s="75"/>
    </row>
    <row r="908" spans="1:2" s="55" customFormat="1">
      <c r="A908" s="75"/>
      <c r="B908" s="75"/>
    </row>
    <row r="909" spans="1:2" s="55" customFormat="1">
      <c r="A909" s="75"/>
      <c r="B909" s="75"/>
    </row>
    <row r="910" spans="1:2" s="55" customFormat="1">
      <c r="A910" s="75"/>
      <c r="B910" s="75"/>
    </row>
    <row r="911" spans="1:2" s="55" customFormat="1">
      <c r="A911" s="75"/>
      <c r="B911" s="75"/>
    </row>
    <row r="912" spans="1:2" s="55" customFormat="1">
      <c r="A912" s="75"/>
      <c r="B912" s="75"/>
    </row>
    <row r="913" spans="1:2" s="55" customFormat="1">
      <c r="A913" s="75"/>
      <c r="B913" s="75"/>
    </row>
    <row r="914" spans="1:2" s="55" customFormat="1">
      <c r="A914" s="75"/>
      <c r="B914" s="75"/>
    </row>
    <row r="915" spans="1:2" s="55" customFormat="1">
      <c r="A915" s="75"/>
      <c r="B915" s="75"/>
    </row>
    <row r="916" spans="1:2" s="55" customFormat="1">
      <c r="A916" s="75"/>
      <c r="B916" s="75"/>
    </row>
    <row r="917" spans="1:2" s="55" customFormat="1">
      <c r="A917" s="75"/>
      <c r="B917" s="75"/>
    </row>
    <row r="918" spans="1:2" s="55" customFormat="1">
      <c r="A918" s="75"/>
      <c r="B918" s="75"/>
    </row>
    <row r="919" spans="1:2" s="55" customFormat="1">
      <c r="A919" s="75"/>
      <c r="B919" s="75"/>
    </row>
    <row r="920" spans="1:2" s="55" customFormat="1">
      <c r="A920" s="75"/>
      <c r="B920" s="75"/>
    </row>
    <row r="921" spans="1:2" s="55" customFormat="1">
      <c r="A921" s="75"/>
      <c r="B921" s="75"/>
    </row>
    <row r="922" spans="1:2" s="55" customFormat="1">
      <c r="A922" s="75"/>
      <c r="B922" s="75"/>
    </row>
    <row r="923" spans="1:2" s="55" customFormat="1">
      <c r="A923" s="75"/>
      <c r="B923" s="75"/>
    </row>
    <row r="924" spans="1:2" s="55" customFormat="1">
      <c r="A924" s="75"/>
      <c r="B924" s="75"/>
    </row>
    <row r="925" spans="1:2" s="55" customFormat="1">
      <c r="A925" s="75"/>
      <c r="B925" s="75"/>
    </row>
    <row r="926" spans="1:2" s="55" customFormat="1">
      <c r="A926" s="75"/>
      <c r="B926" s="75"/>
    </row>
    <row r="927" spans="1:2" s="55" customFormat="1">
      <c r="A927" s="75"/>
      <c r="B927" s="75"/>
    </row>
    <row r="928" spans="1:2" s="55" customFormat="1">
      <c r="A928" s="75"/>
      <c r="B928" s="75"/>
    </row>
    <row r="929" spans="1:2" s="55" customFormat="1">
      <c r="A929" s="75"/>
      <c r="B929" s="75"/>
    </row>
    <row r="930" spans="1:2" s="55" customFormat="1">
      <c r="A930" s="75"/>
      <c r="B930" s="75"/>
    </row>
    <row r="931" spans="1:2" s="55" customFormat="1">
      <c r="A931" s="75"/>
      <c r="B931" s="75"/>
    </row>
    <row r="932" spans="1:2" s="55" customFormat="1">
      <c r="A932" s="75"/>
      <c r="B932" s="75"/>
    </row>
    <row r="933" spans="1:2" s="55" customFormat="1">
      <c r="A933" s="75"/>
      <c r="B933" s="75"/>
    </row>
    <row r="934" spans="1:2" s="55" customFormat="1">
      <c r="A934" s="75"/>
      <c r="B934" s="75"/>
    </row>
    <row r="935" spans="1:2" s="55" customFormat="1">
      <c r="A935" s="75"/>
      <c r="B935" s="75"/>
    </row>
    <row r="936" spans="1:2" s="55" customFormat="1">
      <c r="A936" s="75"/>
      <c r="B936" s="75"/>
    </row>
    <row r="937" spans="1:2" s="55" customFormat="1">
      <c r="A937" s="75"/>
      <c r="B937" s="75"/>
    </row>
    <row r="938" spans="1:2" s="55" customFormat="1">
      <c r="A938" s="75"/>
      <c r="B938" s="75"/>
    </row>
    <row r="939" spans="1:2" s="55" customFormat="1">
      <c r="A939" s="75"/>
      <c r="B939" s="75"/>
    </row>
    <row r="940" spans="1:2" s="55" customFormat="1">
      <c r="A940" s="75"/>
      <c r="B940" s="75"/>
    </row>
    <row r="941" spans="1:2" s="55" customFormat="1">
      <c r="A941" s="75"/>
      <c r="B941" s="75"/>
    </row>
    <row r="942" spans="1:2" s="55" customFormat="1">
      <c r="A942" s="75"/>
      <c r="B942" s="75"/>
    </row>
    <row r="943" spans="1:2" s="55" customFormat="1">
      <c r="A943" s="75"/>
      <c r="B943" s="75"/>
    </row>
    <row r="944" spans="1:2" s="55" customFormat="1">
      <c r="A944" s="75"/>
      <c r="B944" s="75"/>
    </row>
    <row r="945" spans="1:2" s="55" customFormat="1">
      <c r="A945" s="75"/>
      <c r="B945" s="75"/>
    </row>
    <row r="946" spans="1:2" s="55" customFormat="1">
      <c r="A946" s="75"/>
      <c r="B946" s="75"/>
    </row>
    <row r="947" spans="1:2" s="55" customFormat="1">
      <c r="A947" s="75"/>
      <c r="B947" s="75"/>
    </row>
    <row r="948" spans="1:2" s="55" customFormat="1">
      <c r="A948" s="75"/>
      <c r="B948" s="75"/>
    </row>
    <row r="949" spans="1:2" s="55" customFormat="1">
      <c r="A949" s="75"/>
      <c r="B949" s="75"/>
    </row>
    <row r="950" spans="1:2" s="55" customFormat="1">
      <c r="A950" s="75"/>
      <c r="B950" s="75"/>
    </row>
    <row r="951" spans="1:2" s="55" customFormat="1">
      <c r="A951" s="75"/>
      <c r="B951" s="75"/>
    </row>
    <row r="952" spans="1:2" s="55" customFormat="1">
      <c r="A952" s="75"/>
      <c r="B952" s="75"/>
    </row>
    <row r="953" spans="1:2" s="55" customFormat="1">
      <c r="A953" s="75"/>
      <c r="B953" s="75"/>
    </row>
    <row r="954" spans="1:2" s="55" customFormat="1">
      <c r="A954" s="75"/>
      <c r="B954" s="75"/>
    </row>
    <row r="955" spans="1:2" s="55" customFormat="1">
      <c r="A955" s="75"/>
      <c r="B955" s="75"/>
    </row>
    <row r="956" spans="1:2" s="55" customFormat="1">
      <c r="A956" s="75"/>
      <c r="B956" s="75"/>
    </row>
    <row r="957" spans="1:2" s="55" customFormat="1">
      <c r="A957" s="75"/>
      <c r="B957" s="75"/>
    </row>
    <row r="958" spans="1:2" s="55" customFormat="1">
      <c r="A958" s="75"/>
      <c r="B958" s="75"/>
    </row>
    <row r="959" spans="1:2" s="55" customFormat="1">
      <c r="A959" s="75"/>
      <c r="B959" s="75"/>
    </row>
    <row r="960" spans="1:2" s="55" customFormat="1">
      <c r="A960" s="75"/>
      <c r="B960" s="75"/>
    </row>
    <row r="961" spans="1:2" s="55" customFormat="1">
      <c r="A961" s="75"/>
      <c r="B961" s="75"/>
    </row>
    <row r="962" spans="1:2" s="55" customFormat="1">
      <c r="A962" s="75"/>
      <c r="B962" s="75"/>
    </row>
    <row r="963" spans="1:2" s="55" customFormat="1">
      <c r="A963" s="75"/>
      <c r="B963" s="75"/>
    </row>
    <row r="964" spans="1:2" s="55" customFormat="1">
      <c r="A964" s="75"/>
      <c r="B964" s="75"/>
    </row>
    <row r="965" spans="1:2" s="55" customFormat="1">
      <c r="A965" s="75"/>
      <c r="B965" s="75"/>
    </row>
    <row r="966" spans="1:2" s="55" customFormat="1">
      <c r="A966" s="75"/>
      <c r="B966" s="75"/>
    </row>
    <row r="967" spans="1:2" s="55" customFormat="1">
      <c r="A967" s="75"/>
      <c r="B967" s="75"/>
    </row>
    <row r="968" spans="1:2" s="55" customFormat="1">
      <c r="A968" s="75"/>
      <c r="B968" s="75"/>
    </row>
    <row r="969" spans="1:2" s="55" customFormat="1">
      <c r="A969" s="75"/>
      <c r="B969" s="75"/>
    </row>
    <row r="970" spans="1:2" s="55" customFormat="1">
      <c r="A970" s="75"/>
      <c r="B970" s="75"/>
    </row>
    <row r="971" spans="1:2" s="55" customFormat="1">
      <c r="A971" s="75"/>
      <c r="B971" s="75"/>
    </row>
    <row r="972" spans="1:2" s="55" customFormat="1">
      <c r="A972" s="75"/>
      <c r="B972" s="75"/>
    </row>
    <row r="973" spans="1:2" s="55" customFormat="1">
      <c r="A973" s="75"/>
      <c r="B973" s="75"/>
    </row>
    <row r="974" spans="1:2" s="55" customFormat="1">
      <c r="A974" s="75"/>
      <c r="B974" s="75"/>
    </row>
    <row r="975" spans="1:2" s="55" customFormat="1">
      <c r="A975" s="75"/>
      <c r="B975" s="75"/>
    </row>
    <row r="976" spans="1:2" s="55" customFormat="1">
      <c r="A976" s="75"/>
      <c r="B976" s="75"/>
    </row>
    <row r="977" spans="1:2" s="55" customFormat="1">
      <c r="A977" s="75"/>
      <c r="B977" s="75"/>
    </row>
    <row r="978" spans="1:2" s="55" customFormat="1">
      <c r="A978" s="75"/>
      <c r="B978" s="75"/>
    </row>
    <row r="979" spans="1:2" s="55" customFormat="1">
      <c r="A979" s="75"/>
      <c r="B979" s="75"/>
    </row>
    <row r="980" spans="1:2" s="55" customFormat="1">
      <c r="A980" s="75"/>
      <c r="B980" s="75"/>
    </row>
    <row r="981" spans="1:2" s="55" customFormat="1">
      <c r="A981" s="75"/>
      <c r="B981" s="75"/>
    </row>
    <row r="982" spans="1:2" s="55" customFormat="1">
      <c r="A982" s="75"/>
      <c r="B982" s="75"/>
    </row>
    <row r="983" spans="1:2" s="55" customFormat="1">
      <c r="A983" s="75"/>
      <c r="B983" s="75"/>
    </row>
    <row r="984" spans="1:2" s="55" customFormat="1">
      <c r="A984" s="75"/>
      <c r="B984" s="75"/>
    </row>
    <row r="985" spans="1:2" s="55" customFormat="1">
      <c r="A985" s="75"/>
      <c r="B985" s="75"/>
    </row>
    <row r="986" spans="1:2" s="55" customFormat="1">
      <c r="A986" s="75"/>
      <c r="B986" s="75"/>
    </row>
    <row r="987" spans="1:2" s="55" customFormat="1">
      <c r="A987" s="75"/>
      <c r="B987" s="75"/>
    </row>
    <row r="988" spans="1:2" s="55" customFormat="1">
      <c r="A988" s="75"/>
      <c r="B988" s="75"/>
    </row>
    <row r="989" spans="1:2" s="55" customFormat="1">
      <c r="A989" s="75"/>
      <c r="B989" s="75"/>
    </row>
    <row r="990" spans="1:2" s="55" customFormat="1">
      <c r="A990" s="75"/>
      <c r="B990" s="75"/>
    </row>
    <row r="991" spans="1:2" s="55" customFormat="1">
      <c r="A991" s="75"/>
      <c r="B991" s="75"/>
    </row>
    <row r="992" spans="1:2" s="55" customFormat="1">
      <c r="A992" s="75"/>
      <c r="B992" s="75"/>
    </row>
    <row r="993" spans="1:2" s="55" customFormat="1">
      <c r="A993" s="75"/>
      <c r="B993" s="75"/>
    </row>
    <row r="994" spans="1:2" s="55" customFormat="1">
      <c r="A994" s="75"/>
      <c r="B994" s="75"/>
    </row>
    <row r="995" spans="1:2" s="55" customFormat="1">
      <c r="A995" s="75"/>
      <c r="B995" s="75"/>
    </row>
    <row r="996" spans="1:2" s="55" customFormat="1">
      <c r="A996" s="75"/>
      <c r="B996" s="75"/>
    </row>
    <row r="997" spans="1:2" s="55" customFormat="1">
      <c r="A997" s="75"/>
      <c r="B997" s="75"/>
    </row>
    <row r="998" spans="1:2" s="55" customFormat="1">
      <c r="A998" s="75"/>
      <c r="B998" s="75"/>
    </row>
    <row r="999" spans="1:2" s="55" customFormat="1">
      <c r="A999" s="75"/>
      <c r="B999" s="75"/>
    </row>
    <row r="1000" spans="1:2" s="55" customFormat="1">
      <c r="A1000" s="75"/>
      <c r="B1000" s="75"/>
    </row>
    <row r="1001" spans="1:2" s="55" customFormat="1">
      <c r="A1001" s="75"/>
      <c r="B1001" s="75"/>
    </row>
    <row r="1002" spans="1:2" s="55" customFormat="1">
      <c r="A1002" s="75"/>
      <c r="B1002" s="75"/>
    </row>
    <row r="1003" spans="1:2" s="55" customFormat="1">
      <c r="A1003" s="75"/>
      <c r="B1003" s="75"/>
    </row>
    <row r="1004" spans="1:2" s="55" customFormat="1">
      <c r="A1004" s="75"/>
      <c r="B1004" s="75"/>
    </row>
    <row r="1005" spans="1:2" s="55" customFormat="1">
      <c r="A1005" s="75"/>
      <c r="B1005" s="75"/>
    </row>
    <row r="1006" spans="1:2" s="55" customFormat="1">
      <c r="A1006" s="75"/>
      <c r="B1006" s="75"/>
    </row>
    <row r="1007" spans="1:2" s="55" customFormat="1">
      <c r="A1007" s="75"/>
      <c r="B1007" s="75"/>
    </row>
    <row r="1008" spans="1:2" s="55" customFormat="1">
      <c r="A1008" s="75"/>
      <c r="B1008" s="75"/>
    </row>
    <row r="1009" spans="1:2" s="55" customFormat="1">
      <c r="A1009" s="75"/>
      <c r="B1009" s="75"/>
    </row>
    <row r="1010" spans="1:2" s="55" customFormat="1">
      <c r="A1010" s="75"/>
      <c r="B1010" s="75"/>
    </row>
    <row r="1011" spans="1:2" s="55" customFormat="1">
      <c r="A1011" s="75"/>
      <c r="B1011" s="75"/>
    </row>
    <row r="1012" spans="1:2" s="55" customFormat="1">
      <c r="A1012" s="75"/>
      <c r="B1012" s="75"/>
    </row>
    <row r="1013" spans="1:2" s="55" customFormat="1">
      <c r="A1013" s="75"/>
      <c r="B1013" s="75"/>
    </row>
    <row r="1014" spans="1:2" s="55" customFormat="1">
      <c r="A1014" s="75"/>
      <c r="B1014" s="75"/>
    </row>
    <row r="1015" spans="1:2" s="55" customFormat="1">
      <c r="A1015" s="75"/>
      <c r="B1015" s="75"/>
    </row>
    <row r="1016" spans="1:2" s="55" customFormat="1">
      <c r="A1016" s="75"/>
      <c r="B1016" s="75"/>
    </row>
    <row r="1017" spans="1:2" s="55" customFormat="1">
      <c r="A1017" s="75"/>
      <c r="B1017" s="75"/>
    </row>
    <row r="1018" spans="1:2" s="55" customFormat="1">
      <c r="A1018" s="75"/>
      <c r="B1018" s="75"/>
    </row>
    <row r="1019" spans="1:2" s="55" customFormat="1">
      <c r="A1019" s="75"/>
      <c r="B1019" s="75"/>
    </row>
    <row r="1020" spans="1:2" s="55" customFormat="1">
      <c r="A1020" s="75"/>
      <c r="B1020" s="75"/>
    </row>
    <row r="1021" spans="1:2" s="55" customFormat="1">
      <c r="A1021" s="75"/>
      <c r="B1021" s="75"/>
    </row>
    <row r="1022" spans="1:2" s="55" customFormat="1">
      <c r="A1022" s="75"/>
      <c r="B1022" s="75"/>
    </row>
    <row r="1023" spans="1:2" s="55" customFormat="1">
      <c r="A1023" s="75"/>
      <c r="B1023" s="75"/>
    </row>
    <row r="1024" spans="1:2" s="55" customFormat="1">
      <c r="A1024" s="75"/>
      <c r="B1024" s="75"/>
    </row>
    <row r="1025" spans="1:2" s="55" customFormat="1">
      <c r="A1025" s="75"/>
      <c r="B1025" s="75"/>
    </row>
    <row r="1026" spans="1:2" s="55" customFormat="1">
      <c r="A1026" s="75"/>
      <c r="B1026" s="75"/>
    </row>
    <row r="1027" spans="1:2" s="55" customFormat="1">
      <c r="A1027" s="75"/>
      <c r="B1027" s="75"/>
    </row>
    <row r="1028" spans="1:2" s="55" customFormat="1">
      <c r="A1028" s="75"/>
      <c r="B1028" s="75"/>
    </row>
    <row r="1029" spans="1:2" s="55" customFormat="1">
      <c r="A1029" s="75"/>
      <c r="B1029" s="75"/>
    </row>
    <row r="1030" spans="1:2" s="55" customFormat="1">
      <c r="A1030" s="75"/>
      <c r="B1030" s="75"/>
    </row>
    <row r="1031" spans="1:2" s="55" customFormat="1">
      <c r="A1031" s="75"/>
      <c r="B1031" s="75"/>
    </row>
    <row r="1032" spans="1:2" s="55" customFormat="1">
      <c r="A1032" s="75"/>
      <c r="B1032" s="75"/>
    </row>
    <row r="1033" spans="1:2" s="55" customFormat="1">
      <c r="A1033" s="75"/>
      <c r="B1033" s="75"/>
    </row>
    <row r="1034" spans="1:2" s="55" customFormat="1">
      <c r="A1034" s="75"/>
      <c r="B1034" s="75"/>
    </row>
    <row r="1035" spans="1:2" s="55" customFormat="1">
      <c r="A1035" s="75"/>
      <c r="B1035" s="75"/>
    </row>
    <row r="1036" spans="1:2" s="55" customFormat="1">
      <c r="A1036" s="75"/>
      <c r="B1036" s="75"/>
    </row>
    <row r="1037" spans="1:2" s="55" customFormat="1">
      <c r="A1037" s="75"/>
      <c r="B1037" s="75"/>
    </row>
    <row r="1038" spans="1:2" s="55" customFormat="1">
      <c r="A1038" s="75"/>
      <c r="B1038" s="75"/>
    </row>
    <row r="1039" spans="1:2" s="55" customFormat="1">
      <c r="A1039" s="75"/>
      <c r="B1039" s="75"/>
    </row>
    <row r="1040" spans="1:2" s="55" customFormat="1">
      <c r="A1040" s="75"/>
      <c r="B1040" s="75"/>
    </row>
    <row r="1041" spans="1:2" s="55" customFormat="1">
      <c r="A1041" s="75"/>
      <c r="B1041" s="75"/>
    </row>
    <row r="1042" spans="1:2" s="55" customFormat="1">
      <c r="A1042" s="75"/>
      <c r="B1042" s="75"/>
    </row>
    <row r="1043" spans="1:2" s="55" customFormat="1">
      <c r="A1043" s="75"/>
      <c r="B1043" s="75"/>
    </row>
    <row r="1044" spans="1:2" s="55" customFormat="1">
      <c r="A1044" s="75"/>
      <c r="B1044" s="75"/>
    </row>
    <row r="1045" spans="1:2" s="55" customFormat="1">
      <c r="A1045" s="75"/>
      <c r="B1045" s="75"/>
    </row>
    <row r="1046" spans="1:2" s="55" customFormat="1">
      <c r="A1046" s="75"/>
      <c r="B1046" s="75"/>
    </row>
    <row r="1047" spans="1:2" s="55" customFormat="1">
      <c r="A1047" s="75"/>
      <c r="B1047" s="75"/>
    </row>
    <row r="1048" spans="1:2" s="55" customFormat="1">
      <c r="A1048" s="75"/>
      <c r="B1048" s="75"/>
    </row>
    <row r="1049" spans="1:2" s="55" customFormat="1">
      <c r="A1049" s="75"/>
      <c r="B1049" s="75"/>
    </row>
    <row r="1050" spans="1:2" s="55" customFormat="1">
      <c r="A1050" s="75"/>
      <c r="B1050" s="75"/>
    </row>
    <row r="1051" spans="1:2" s="55" customFormat="1">
      <c r="A1051" s="75"/>
      <c r="B1051" s="75"/>
    </row>
    <row r="1052" spans="1:2" s="55" customFormat="1">
      <c r="A1052" s="75"/>
      <c r="B1052" s="75"/>
    </row>
    <row r="1053" spans="1:2" s="55" customFormat="1">
      <c r="A1053" s="75"/>
      <c r="B1053" s="75"/>
    </row>
    <row r="1054" spans="1:2" s="55" customFormat="1">
      <c r="A1054" s="75"/>
      <c r="B1054" s="75"/>
    </row>
    <row r="1055" spans="1:2" s="55" customFormat="1">
      <c r="A1055" s="75"/>
      <c r="B1055" s="75"/>
    </row>
    <row r="1056" spans="1:2" s="55" customFormat="1">
      <c r="A1056" s="75"/>
      <c r="B1056" s="75"/>
    </row>
    <row r="1057" spans="1:2" s="55" customFormat="1">
      <c r="A1057" s="75"/>
      <c r="B1057" s="75"/>
    </row>
    <row r="1058" spans="1:2" s="55" customFormat="1">
      <c r="A1058" s="75"/>
      <c r="B1058" s="75"/>
    </row>
    <row r="1059" spans="1:2" s="55" customFormat="1">
      <c r="A1059" s="75"/>
      <c r="B1059" s="75"/>
    </row>
    <row r="1060" spans="1:2" s="55" customFormat="1">
      <c r="A1060" s="75"/>
      <c r="B1060" s="75"/>
    </row>
    <row r="1061" spans="1:2" s="55" customFormat="1">
      <c r="A1061" s="75"/>
      <c r="B1061" s="75"/>
    </row>
    <row r="1062" spans="1:2" s="55" customFormat="1">
      <c r="A1062" s="75"/>
      <c r="B1062" s="75"/>
    </row>
    <row r="1063" spans="1:2" s="55" customFormat="1">
      <c r="A1063" s="75"/>
      <c r="B1063" s="75"/>
    </row>
    <row r="1064" spans="1:2" s="55" customFormat="1">
      <c r="A1064" s="75"/>
      <c r="B1064" s="75"/>
    </row>
    <row r="1065" spans="1:2" s="55" customFormat="1">
      <c r="A1065" s="75"/>
      <c r="B1065" s="75"/>
    </row>
    <row r="1066" spans="1:2" s="55" customFormat="1">
      <c r="A1066" s="75"/>
      <c r="B1066" s="75"/>
    </row>
    <row r="1067" spans="1:2" s="55" customFormat="1">
      <c r="A1067" s="75"/>
      <c r="B1067" s="75"/>
    </row>
    <row r="1068" spans="1:2" s="55" customFormat="1">
      <c r="A1068" s="75"/>
      <c r="B1068" s="75"/>
    </row>
  </sheetData>
  <hyperlinks>
    <hyperlink ref="E2" location="'Aufbau LCC-CO2-Tool'!A1" display="zurück zur Übersicht" xr:uid="{6C83A1BE-99F9-4C3F-9E7A-C4CF35F84B74}"/>
    <hyperlink ref="E3" location="'Anleitung für Beschaffende'!A17" display="zurück zur Anleitung für Beschaffende " xr:uid="{3A3944A1-C25F-40B0-BAAB-4AEFB53CD9E8}"/>
    <hyperlink ref="E4" location="'Anleitung für Bietende'!A13" display="zurück zur Anleitung für Bietende" xr:uid="{04A631F5-3D52-4F56-A516-9D90FDAAD649}"/>
  </hyperlinks>
  <pageMargins left="0.70866141732283472" right="0.70866141732283472" top="0.78740157480314965" bottom="0.78740157480314965" header="0.31496062992125984" footer="0.31496062992125984"/>
  <pageSetup paperSize="9" scale="61" orientation="landscape" r:id="rId1"/>
  <headerFooter>
    <oddHeader>&amp;C&amp;14&amp;KFF0000TESTVERSION!</oddHeader>
    <oddFooter>&amp;L&amp;8LCC-CO2-Tool - Arbeitshilfe des Umweltbundesamtes&amp;C &amp;8Investitionsrechnung&amp;R&amp;8&amp;P</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9">
    <tabColor rgb="FFBCE4A7"/>
    <pageSetUpPr fitToPage="1"/>
  </sheetPr>
  <dimension ref="A1:K98"/>
  <sheetViews>
    <sheetView showGridLines="0" topLeftCell="A7" zoomScale="90" zoomScaleNormal="90" workbookViewId="0">
      <selection activeCell="F82" sqref="F82"/>
    </sheetView>
  </sheetViews>
  <sheetFormatPr baseColWidth="10" defaultColWidth="11.08203125" defaultRowHeight="14.5"/>
  <cols>
    <col min="1" max="1" width="2.08203125" style="55" customWidth="1"/>
    <col min="2" max="2" width="3.58203125" style="55" customWidth="1"/>
    <col min="3" max="3" width="2.58203125" style="55" customWidth="1"/>
    <col min="4" max="4" width="31.58203125" style="55" customWidth="1"/>
    <col min="5" max="5" width="49.58203125" style="58" customWidth="1"/>
    <col min="6" max="6" width="13.83203125" style="55" customWidth="1"/>
    <col min="7" max="7" width="11.08203125" style="55"/>
    <col min="8" max="8" width="15.58203125" style="55" customWidth="1"/>
    <col min="9" max="9" width="67.58203125" style="74" customWidth="1"/>
    <col min="10" max="10" width="3.58203125" style="55" customWidth="1"/>
    <col min="11" max="11" width="2.08203125" style="55" customWidth="1"/>
    <col min="12" max="15" width="11.08203125" style="55"/>
    <col min="16" max="16" width="36.58203125" style="55" customWidth="1"/>
    <col min="17" max="16384" width="11.08203125" style="55"/>
  </cols>
  <sheetData>
    <row r="1" spans="1:11">
      <c r="A1" s="511"/>
      <c r="B1" s="511"/>
      <c r="C1" s="511"/>
      <c r="D1" s="511"/>
      <c r="E1" s="512"/>
      <c r="F1" s="511"/>
      <c r="G1" s="511"/>
      <c r="H1" s="511"/>
      <c r="I1" s="513"/>
      <c r="J1" s="511"/>
      <c r="K1" s="511"/>
    </row>
    <row r="2" spans="1:11" ht="33.65" customHeight="1">
      <c r="A2" s="511"/>
      <c r="B2" s="90"/>
      <c r="C2" s="68" t="s">
        <v>233</v>
      </c>
      <c r="D2" s="358"/>
      <c r="E2" s="404"/>
      <c r="F2" s="68"/>
      <c r="G2" s="68"/>
      <c r="H2" s="68"/>
      <c r="I2" s="302"/>
      <c r="J2" s="358"/>
      <c r="K2" s="511"/>
    </row>
    <row r="3" spans="1:11" ht="33.65" customHeight="1">
      <c r="A3" s="511"/>
      <c r="B3" s="369"/>
      <c r="C3" s="358" t="s">
        <v>92</v>
      </c>
      <c r="D3" s="358"/>
      <c r="E3" s="224" t="s">
        <v>234</v>
      </c>
      <c r="F3" s="314">
        <f>1/6*B13+1/6*B22+1/6*B30+1/6*B47+1/6*B68+1/6*B78</f>
        <v>0</v>
      </c>
      <c r="G3" s="56"/>
      <c r="H3" s="996" t="s">
        <v>1886</v>
      </c>
      <c r="I3" s="303"/>
      <c r="J3" s="358"/>
      <c r="K3" s="511"/>
    </row>
    <row r="4" spans="1:11">
      <c r="A4" s="511"/>
      <c r="B4" s="358"/>
      <c r="C4" s="370" t="s">
        <v>120</v>
      </c>
      <c r="D4" s="370"/>
      <c r="E4" s="404"/>
      <c r="F4" s="358"/>
      <c r="G4" s="358"/>
      <c r="H4" s="996" t="s">
        <v>1887</v>
      </c>
      <c r="I4" s="484"/>
      <c r="J4" s="358"/>
      <c r="K4" s="511"/>
    </row>
    <row r="5" spans="1:11">
      <c r="A5" s="511"/>
      <c r="B5" s="358"/>
      <c r="C5" s="403" t="s">
        <v>44</v>
      </c>
      <c r="D5" s="403"/>
      <c r="E5" s="404"/>
      <c r="F5" s="358"/>
      <c r="G5" s="358"/>
      <c r="H5" s="996" t="s">
        <v>1888</v>
      </c>
      <c r="I5" s="484"/>
      <c r="J5" s="358"/>
      <c r="K5" s="511"/>
    </row>
    <row r="6" spans="1:11">
      <c r="A6" s="511"/>
      <c r="B6" s="358"/>
      <c r="C6" s="358"/>
      <c r="D6" s="358"/>
      <c r="E6" s="404"/>
      <c r="F6" s="358"/>
      <c r="G6" s="358"/>
      <c r="H6" s="358"/>
      <c r="I6" s="484"/>
      <c r="J6" s="358"/>
      <c r="K6" s="511"/>
    </row>
    <row r="7" spans="1:11">
      <c r="A7" s="511"/>
      <c r="B7" s="358"/>
      <c r="C7" s="358"/>
      <c r="D7" s="514" t="s">
        <v>235</v>
      </c>
      <c r="E7" s="845"/>
      <c r="F7" s="65" t="s">
        <v>1313</v>
      </c>
      <c r="G7" s="358"/>
      <c r="H7" s="358"/>
      <c r="I7" s="484"/>
      <c r="J7" s="358"/>
      <c r="K7" s="511"/>
    </row>
    <row r="8" spans="1:11" ht="14.15" customHeight="1">
      <c r="A8" s="511"/>
      <c r="B8" s="358"/>
      <c r="C8" s="358"/>
      <c r="D8" s="474" t="s">
        <v>236</v>
      </c>
      <c r="E8" s="515"/>
      <c r="F8" s="148" t="s">
        <v>1721</v>
      </c>
      <c r="G8" s="358"/>
      <c r="H8" s="358"/>
      <c r="I8" s="484"/>
      <c r="J8" s="358"/>
      <c r="K8" s="511"/>
    </row>
    <row r="9" spans="1:11">
      <c r="A9" s="511"/>
      <c r="B9" s="358"/>
      <c r="C9" s="358"/>
      <c r="D9" s="358"/>
      <c r="E9" s="404"/>
      <c r="F9" s="358"/>
      <c r="G9" s="358"/>
      <c r="H9" s="358"/>
      <c r="I9" s="516"/>
      <c r="J9" s="358"/>
      <c r="K9" s="511"/>
    </row>
    <row r="10" spans="1:11" ht="21.5" thickBot="1">
      <c r="A10" s="511"/>
      <c r="B10" s="358"/>
      <c r="C10" s="296" t="s">
        <v>238</v>
      </c>
      <c r="D10" s="358"/>
      <c r="E10" s="404"/>
      <c r="F10" s="358"/>
      <c r="G10" s="358"/>
      <c r="H10" s="358"/>
      <c r="I10" s="516"/>
      <c r="J10" s="358"/>
      <c r="K10" s="511"/>
    </row>
    <row r="11" spans="1:11" ht="19" thickTop="1">
      <c r="A11" s="511"/>
      <c r="B11" s="358"/>
      <c r="C11" s="173"/>
      <c r="D11" s="174"/>
      <c r="E11" s="175"/>
      <c r="F11" s="174"/>
      <c r="G11" s="176"/>
      <c r="H11" s="176"/>
      <c r="I11" s="329" t="s">
        <v>239</v>
      </c>
      <c r="J11" s="358"/>
      <c r="K11" s="511"/>
    </row>
    <row r="12" spans="1:11">
      <c r="A12" s="511"/>
      <c r="B12" s="358"/>
      <c r="C12" s="177"/>
      <c r="D12" s="81"/>
      <c r="E12" s="82"/>
      <c r="F12" s="81"/>
      <c r="G12" s="83"/>
      <c r="H12" s="83"/>
      <c r="I12" s="304"/>
      <c r="J12" s="358"/>
      <c r="K12" s="511"/>
    </row>
    <row r="13" spans="1:11" ht="72.5">
      <c r="A13" s="511"/>
      <c r="B13" s="62">
        <f>IF(AND(E13&lt;&gt;"",E15&lt;&gt;""),1,0)</f>
        <v>0</v>
      </c>
      <c r="C13" s="177"/>
      <c r="D13" s="408" t="s">
        <v>240</v>
      </c>
      <c r="E13" s="828"/>
      <c r="F13" s="417" t="s">
        <v>241</v>
      </c>
      <c r="G13" s="84"/>
      <c r="H13" s="84"/>
      <c r="I13" s="149" t="s">
        <v>1722</v>
      </c>
      <c r="J13" s="358"/>
      <c r="K13" s="511"/>
    </row>
    <row r="14" spans="1:11" ht="15" thickBot="1">
      <c r="A14" s="511"/>
      <c r="B14" s="358"/>
      <c r="C14" s="177"/>
      <c r="D14" s="474"/>
      <c r="E14" s="404"/>
      <c r="F14" s="358"/>
      <c r="G14" s="85"/>
      <c r="H14" s="85"/>
      <c r="I14" s="149"/>
      <c r="J14" s="358"/>
      <c r="K14" s="511"/>
    </row>
    <row r="15" spans="1:11" ht="17" thickBot="1">
      <c r="A15" s="511"/>
      <c r="B15" s="358"/>
      <c r="C15" s="177"/>
      <c r="D15" s="256" t="s">
        <v>1737</v>
      </c>
      <c r="E15" s="840"/>
      <c r="F15" s="72" t="s">
        <v>1738</v>
      </c>
      <c r="G15" s="85" t="s">
        <v>323</v>
      </c>
      <c r="H15" s="85"/>
      <c r="I15" s="249" t="s">
        <v>1772</v>
      </c>
      <c r="J15" s="358"/>
      <c r="K15" s="511"/>
    </row>
    <row r="16" spans="1:11">
      <c r="A16" s="511"/>
      <c r="B16" s="358"/>
      <c r="C16" s="177"/>
      <c r="D16" s="358"/>
      <c r="E16" s="404"/>
      <c r="F16" s="358"/>
      <c r="G16" s="86"/>
      <c r="H16" s="86"/>
      <c r="I16" s="149"/>
      <c r="J16" s="358"/>
      <c r="K16" s="511"/>
    </row>
    <row r="17" spans="1:11" ht="15" thickBot="1">
      <c r="A17" s="511"/>
      <c r="B17" s="358"/>
      <c r="C17" s="178"/>
      <c r="D17" s="179"/>
      <c r="E17" s="180"/>
      <c r="F17" s="179"/>
      <c r="G17" s="181"/>
      <c r="H17" s="181"/>
      <c r="I17" s="305"/>
      <c r="J17" s="358"/>
      <c r="K17" s="511"/>
    </row>
    <row r="18" spans="1:11" ht="15" thickTop="1">
      <c r="A18" s="511"/>
      <c r="B18" s="358"/>
      <c r="C18" s="358"/>
      <c r="D18" s="358"/>
      <c r="E18" s="404"/>
      <c r="F18" s="358"/>
      <c r="G18" s="358"/>
      <c r="H18" s="358"/>
      <c r="I18" s="516"/>
      <c r="J18" s="358"/>
      <c r="K18" s="511"/>
    </row>
    <row r="19" spans="1:11" ht="21.5" thickBot="1">
      <c r="A19" s="511"/>
      <c r="B19" s="358"/>
      <c r="C19" s="296" t="s">
        <v>242</v>
      </c>
      <c r="D19" s="358"/>
      <c r="E19" s="404"/>
      <c r="F19" s="358"/>
      <c r="G19" s="358"/>
      <c r="H19" s="358"/>
      <c r="I19" s="516"/>
      <c r="J19" s="358"/>
      <c r="K19" s="511"/>
    </row>
    <row r="20" spans="1:11" ht="19" thickTop="1">
      <c r="A20" s="511"/>
      <c r="B20" s="358"/>
      <c r="C20" s="182"/>
      <c r="D20" s="183"/>
      <c r="E20" s="184"/>
      <c r="F20" s="183"/>
      <c r="G20" s="185"/>
      <c r="H20" s="185"/>
      <c r="I20" s="329" t="s">
        <v>239</v>
      </c>
      <c r="J20" s="358"/>
      <c r="K20" s="511"/>
    </row>
    <row r="21" spans="1:11">
      <c r="A21" s="511"/>
      <c r="B21" s="358"/>
      <c r="C21" s="186"/>
      <c r="D21" s="358"/>
      <c r="E21" s="404"/>
      <c r="F21" s="358"/>
      <c r="G21" s="65"/>
      <c r="H21" s="65"/>
      <c r="I21" s="304"/>
      <c r="J21" s="358"/>
      <c r="K21" s="511"/>
    </row>
    <row r="22" spans="1:11" ht="14.5" customHeight="1">
      <c r="A22" s="511"/>
      <c r="B22" s="62">
        <f>IF(AND(E24&lt;&gt;"",E26&lt;&gt;""),1,0)</f>
        <v>0</v>
      </c>
      <c r="C22" s="186"/>
      <c r="D22" s="474" t="s">
        <v>243</v>
      </c>
      <c r="E22" s="518"/>
      <c r="F22" s="358"/>
      <c r="G22" s="84"/>
      <c r="H22" s="84"/>
      <c r="I22" s="149" t="s">
        <v>1723</v>
      </c>
      <c r="J22" s="358"/>
      <c r="K22" s="511"/>
    </row>
    <row r="23" spans="1:11" ht="14.5" customHeight="1">
      <c r="A23" s="511"/>
      <c r="B23" s="358"/>
      <c r="C23" s="186"/>
      <c r="D23" s="358"/>
      <c r="E23" s="404"/>
      <c r="F23" s="358"/>
      <c r="G23" s="85"/>
      <c r="H23" s="85"/>
      <c r="I23" s="149" t="s">
        <v>1733</v>
      </c>
      <c r="J23" s="358"/>
      <c r="K23" s="511"/>
    </row>
    <row r="24" spans="1:11" ht="28.4" customHeight="1">
      <c r="A24" s="511"/>
      <c r="B24" s="358"/>
      <c r="C24" s="186"/>
      <c r="D24" s="514" t="s">
        <v>244</v>
      </c>
      <c r="E24" s="828"/>
      <c r="F24" s="417" t="s">
        <v>245</v>
      </c>
      <c r="G24" s="85"/>
      <c r="H24" s="85"/>
      <c r="I24" s="149" t="s">
        <v>1724</v>
      </c>
      <c r="J24" s="358"/>
      <c r="K24" s="511"/>
    </row>
    <row r="25" spans="1:11">
      <c r="A25" s="511"/>
      <c r="B25" s="358"/>
      <c r="C25" s="186"/>
      <c r="D25" s="474"/>
      <c r="E25" s="404"/>
      <c r="F25" s="358"/>
      <c r="G25" s="85"/>
      <c r="H25" s="85"/>
      <c r="I25" s="149"/>
      <c r="J25" s="358"/>
      <c r="K25" s="511"/>
    </row>
    <row r="26" spans="1:11" ht="14.5" customHeight="1">
      <c r="A26" s="511"/>
      <c r="B26" s="358"/>
      <c r="C26" s="186"/>
      <c r="D26" s="474" t="s">
        <v>246</v>
      </c>
      <c r="E26" s="517"/>
      <c r="F26" s="358" t="s">
        <v>247</v>
      </c>
      <c r="G26" s="92" t="s">
        <v>323</v>
      </c>
      <c r="H26" s="85"/>
      <c r="I26" s="149" t="s">
        <v>1735</v>
      </c>
      <c r="J26" s="358"/>
      <c r="K26" s="511"/>
    </row>
    <row r="27" spans="1:11" ht="43.5" customHeight="1">
      <c r="A27" s="511"/>
      <c r="B27" s="358"/>
      <c r="C27" s="186"/>
      <c r="D27" s="358"/>
      <c r="E27" s="404"/>
      <c r="F27" s="358"/>
      <c r="G27" s="85"/>
      <c r="H27" s="85"/>
      <c r="I27" s="149" t="s">
        <v>1736</v>
      </c>
      <c r="J27" s="358"/>
      <c r="K27" s="511"/>
    </row>
    <row r="28" spans="1:11" ht="15" thickBot="1">
      <c r="A28" s="511"/>
      <c r="B28" s="358"/>
      <c r="C28" s="187"/>
      <c r="D28" s="519"/>
      <c r="E28" s="520"/>
      <c r="F28" s="519"/>
      <c r="G28" s="87"/>
      <c r="H28" s="87"/>
      <c r="I28" s="250"/>
      <c r="J28" s="358"/>
      <c r="K28" s="511"/>
    </row>
    <row r="29" spans="1:11" ht="15" thickTop="1">
      <c r="A29" s="511"/>
      <c r="B29" s="358"/>
      <c r="C29" s="186"/>
      <c r="D29" s="358"/>
      <c r="E29" s="404"/>
      <c r="F29" s="358"/>
      <c r="G29" s="85"/>
      <c r="H29" s="85"/>
      <c r="I29" s="306"/>
      <c r="J29" s="358"/>
      <c r="K29" s="511"/>
    </row>
    <row r="30" spans="1:11" ht="14.15" customHeight="1">
      <c r="A30" s="511"/>
      <c r="B30" s="62">
        <f>IF(AND(E32&lt;&gt;"[Bitte auswählen]",F32&lt;&gt;"",G32&lt;&gt;""),1,0)</f>
        <v>0</v>
      </c>
      <c r="C30" s="186"/>
      <c r="D30" s="72" t="s">
        <v>248</v>
      </c>
      <c r="E30" s="321"/>
      <c r="F30" s="322" t="s">
        <v>249</v>
      </c>
      <c r="G30" s="322" t="s">
        <v>250</v>
      </c>
      <c r="H30" s="358"/>
      <c r="J30" s="358"/>
      <c r="K30" s="511"/>
    </row>
    <row r="31" spans="1:11">
      <c r="A31" s="511"/>
      <c r="B31" s="358"/>
      <c r="C31" s="186"/>
      <c r="D31" s="358"/>
      <c r="E31" s="321" t="s">
        <v>251</v>
      </c>
      <c r="F31" s="322" t="s">
        <v>252</v>
      </c>
      <c r="G31" s="322" t="s">
        <v>253</v>
      </c>
      <c r="H31" s="358"/>
      <c r="I31" s="148" t="s">
        <v>1320</v>
      </c>
      <c r="J31" s="358"/>
      <c r="K31" s="511"/>
    </row>
    <row r="32" spans="1:11" ht="29">
      <c r="A32" s="511"/>
      <c r="B32" s="358"/>
      <c r="C32" s="186"/>
      <c r="D32" s="514" t="s">
        <v>254</v>
      </c>
      <c r="E32" s="829" t="s">
        <v>128</v>
      </c>
      <c r="F32" s="830"/>
      <c r="G32" s="831"/>
      <c r="H32" s="358"/>
      <c r="I32" s="249" t="s">
        <v>1725</v>
      </c>
      <c r="J32" s="358"/>
      <c r="K32" s="511"/>
    </row>
    <row r="33" spans="1:11" ht="14.5" customHeight="1">
      <c r="A33" s="511"/>
      <c r="B33" s="358"/>
      <c r="C33" s="186"/>
      <c r="D33" s="474"/>
      <c r="E33" s="404"/>
      <c r="F33" s="358"/>
      <c r="G33" s="358"/>
      <c r="H33" s="358"/>
      <c r="J33" s="358"/>
      <c r="K33" s="511"/>
    </row>
    <row r="34" spans="1:11" ht="14.15" customHeight="1">
      <c r="A34" s="511"/>
      <c r="B34" s="358"/>
      <c r="C34" s="186"/>
      <c r="D34" s="474" t="s">
        <v>255</v>
      </c>
      <c r="E34" s="521" t="s">
        <v>128</v>
      </c>
      <c r="F34" s="522"/>
      <c r="G34" s="523"/>
      <c r="H34" s="358"/>
      <c r="I34" s="149" t="s">
        <v>256</v>
      </c>
      <c r="J34" s="358"/>
      <c r="K34" s="511"/>
    </row>
    <row r="35" spans="1:11" ht="14.5" customHeight="1">
      <c r="A35" s="511"/>
      <c r="B35" s="358"/>
      <c r="C35" s="186"/>
      <c r="D35" s="474"/>
      <c r="E35" s="404"/>
      <c r="F35" s="358"/>
      <c r="G35" s="358"/>
      <c r="H35" s="358"/>
      <c r="I35" s="149" t="s">
        <v>257</v>
      </c>
      <c r="J35" s="358"/>
      <c r="K35" s="511"/>
    </row>
    <row r="36" spans="1:11" ht="14.15" customHeight="1">
      <c r="A36" s="511"/>
      <c r="B36" s="358"/>
      <c r="C36" s="186"/>
      <c r="D36" s="474" t="s">
        <v>258</v>
      </c>
      <c r="E36" s="521" t="s">
        <v>128</v>
      </c>
      <c r="F36" s="522"/>
      <c r="G36" s="523"/>
      <c r="H36" s="358"/>
      <c r="I36" s="149" t="s">
        <v>259</v>
      </c>
      <c r="J36" s="358"/>
      <c r="K36" s="511"/>
    </row>
    <row r="37" spans="1:11">
      <c r="A37" s="511"/>
      <c r="B37" s="358"/>
      <c r="C37" s="186"/>
      <c r="D37" s="474"/>
      <c r="E37" s="404"/>
      <c r="F37" s="358"/>
      <c r="G37" s="358"/>
      <c r="H37" s="358"/>
      <c r="I37" s="149" t="s">
        <v>260</v>
      </c>
      <c r="J37" s="358"/>
      <c r="K37" s="511"/>
    </row>
    <row r="38" spans="1:11" ht="14.5" customHeight="1">
      <c r="A38" s="511"/>
      <c r="B38" s="358"/>
      <c r="C38" s="186"/>
      <c r="D38" s="474" t="s">
        <v>261</v>
      </c>
      <c r="E38" s="521" t="s">
        <v>128</v>
      </c>
      <c r="F38" s="522"/>
      <c r="G38" s="523"/>
      <c r="H38" s="358"/>
      <c r="I38" s="149"/>
      <c r="J38" s="358"/>
      <c r="K38" s="511"/>
    </row>
    <row r="39" spans="1:11" ht="14.5" customHeight="1">
      <c r="A39" s="511"/>
      <c r="B39" s="358"/>
      <c r="C39" s="186"/>
      <c r="D39" s="474"/>
      <c r="E39" s="404"/>
      <c r="F39" s="358"/>
      <c r="G39" s="358"/>
      <c r="H39" s="358"/>
      <c r="I39" s="149" t="s">
        <v>262</v>
      </c>
      <c r="J39" s="358"/>
      <c r="K39" s="511"/>
    </row>
    <row r="40" spans="1:11">
      <c r="A40" s="511"/>
      <c r="B40" s="358"/>
      <c r="C40" s="186"/>
      <c r="D40" s="474" t="s">
        <v>263</v>
      </c>
      <c r="E40" s="521" t="s">
        <v>128</v>
      </c>
      <c r="F40" s="522"/>
      <c r="G40" s="523"/>
      <c r="H40" s="358"/>
      <c r="I40" s="316" t="s">
        <v>264</v>
      </c>
      <c r="J40" s="358"/>
      <c r="K40" s="511"/>
    </row>
    <row r="41" spans="1:11">
      <c r="A41" s="511"/>
      <c r="B41" s="358"/>
      <c r="C41" s="186"/>
      <c r="D41" s="474"/>
      <c r="E41" s="404"/>
      <c r="F41" s="358"/>
      <c r="G41" s="358"/>
      <c r="H41" s="358"/>
      <c r="J41" s="358"/>
      <c r="K41" s="511"/>
    </row>
    <row r="42" spans="1:11">
      <c r="A42" s="511"/>
      <c r="B42" s="358"/>
      <c r="C42" s="186"/>
      <c r="D42" s="474" t="s">
        <v>265</v>
      </c>
      <c r="E42" s="521" t="s">
        <v>128</v>
      </c>
      <c r="F42" s="522"/>
      <c r="G42" s="523"/>
      <c r="H42" s="358"/>
      <c r="J42" s="358"/>
      <c r="K42" s="511"/>
    </row>
    <row r="43" spans="1:11">
      <c r="A43" s="511"/>
      <c r="B43" s="358"/>
      <c r="C43" s="186"/>
      <c r="D43" s="474"/>
      <c r="E43" s="404"/>
      <c r="F43" s="358"/>
      <c r="G43" s="358"/>
      <c r="H43" s="358"/>
      <c r="I43" s="149"/>
      <c r="J43" s="358"/>
      <c r="K43" s="511"/>
    </row>
    <row r="44" spans="1:11">
      <c r="A44" s="511"/>
      <c r="B44" s="358"/>
      <c r="C44" s="186"/>
      <c r="D44" s="474" t="s">
        <v>266</v>
      </c>
      <c r="E44" s="521" t="s">
        <v>128</v>
      </c>
      <c r="F44" s="522"/>
      <c r="G44" s="523"/>
      <c r="H44" s="358"/>
      <c r="I44" s="149"/>
      <c r="J44" s="358"/>
      <c r="K44" s="511"/>
    </row>
    <row r="45" spans="1:11" ht="15" thickBot="1">
      <c r="A45" s="511"/>
      <c r="B45" s="358"/>
      <c r="C45" s="187"/>
      <c r="D45" s="519"/>
      <c r="E45" s="520"/>
      <c r="F45" s="519"/>
      <c r="G45" s="87"/>
      <c r="H45" s="87"/>
      <c r="I45" s="330"/>
      <c r="J45" s="88"/>
      <c r="K45" s="511"/>
    </row>
    <row r="46" spans="1:11" ht="15" thickTop="1">
      <c r="A46" s="511"/>
      <c r="B46" s="358"/>
      <c r="C46" s="186"/>
      <c r="D46" s="358"/>
      <c r="E46" s="404"/>
      <c r="F46" s="358"/>
      <c r="G46" s="85"/>
      <c r="H46" s="85"/>
      <c r="I46" s="306"/>
      <c r="J46" s="84"/>
      <c r="K46" s="511"/>
    </row>
    <row r="47" spans="1:11" ht="14.5" customHeight="1">
      <c r="A47" s="511"/>
      <c r="B47" s="62">
        <f>IF(E49="[Bitte auswählen]",0,1)</f>
        <v>0</v>
      </c>
      <c r="C47" s="186"/>
      <c r="D47" s="72" t="s">
        <v>267</v>
      </c>
      <c r="E47" s="404"/>
      <c r="F47" s="358"/>
      <c r="G47" s="85"/>
      <c r="H47" s="85"/>
      <c r="I47" s="325" t="s">
        <v>268</v>
      </c>
      <c r="J47" s="84"/>
      <c r="K47" s="511"/>
    </row>
    <row r="48" spans="1:11" ht="29">
      <c r="A48" s="511"/>
      <c r="B48" s="358"/>
      <c r="C48" s="186"/>
      <c r="D48" s="358"/>
      <c r="E48" s="321" t="s">
        <v>251</v>
      </c>
      <c r="F48" s="322" t="s">
        <v>269</v>
      </c>
      <c r="G48" s="322" t="s">
        <v>228</v>
      </c>
      <c r="H48" s="331" t="s">
        <v>270</v>
      </c>
      <c r="I48" s="149"/>
      <c r="J48" s="84"/>
      <c r="K48" s="511"/>
    </row>
    <row r="49" spans="1:11" ht="14.5" customHeight="1">
      <c r="A49" s="511"/>
      <c r="B49" s="358"/>
      <c r="C49" s="186"/>
      <c r="D49" s="474" t="s">
        <v>271</v>
      </c>
      <c r="E49" s="841" t="s">
        <v>128</v>
      </c>
      <c r="F49" s="332"/>
      <c r="G49" s="333" t="str">
        <f>IFERROR(VLOOKUP(E49,Emissionsfaktoren_Prozesse!$D$108:$R$156,3,FALSE),"")</f>
        <v/>
      </c>
      <c r="H49" s="334"/>
      <c r="I49" s="325" t="s">
        <v>272</v>
      </c>
      <c r="J49" s="84"/>
      <c r="K49" s="511"/>
    </row>
    <row r="50" spans="1:11" ht="14.5" customHeight="1">
      <c r="A50" s="511"/>
      <c r="B50" s="358"/>
      <c r="C50" s="186"/>
      <c r="D50" s="474"/>
      <c r="E50" s="533"/>
      <c r="F50" s="65"/>
      <c r="G50" s="335"/>
      <c r="H50" s="65"/>
      <c r="I50" s="325" t="s">
        <v>1727</v>
      </c>
      <c r="J50" s="84"/>
      <c r="K50" s="511"/>
    </row>
    <row r="51" spans="1:11">
      <c r="A51" s="511"/>
      <c r="B51" s="358"/>
      <c r="C51" s="186"/>
      <c r="D51" s="474" t="s">
        <v>273</v>
      </c>
      <c r="E51" s="841" t="s">
        <v>128</v>
      </c>
      <c r="F51" s="332"/>
      <c r="G51" s="333" t="str">
        <f>IFERROR(VLOOKUP(E51,Emissionsfaktoren_Prozesse!$D$108:$R$156,3,FALSE),"")</f>
        <v/>
      </c>
      <c r="H51" s="334"/>
      <c r="I51" s="149"/>
      <c r="J51" s="84"/>
      <c r="K51" s="511"/>
    </row>
    <row r="52" spans="1:11">
      <c r="A52" s="511"/>
      <c r="B52" s="358"/>
      <c r="C52" s="186"/>
      <c r="D52" s="474"/>
      <c r="E52" s="533"/>
      <c r="F52" s="65"/>
      <c r="G52" s="335"/>
      <c r="H52" s="65"/>
      <c r="I52" s="325" t="s">
        <v>274</v>
      </c>
      <c r="J52" s="84"/>
      <c r="K52" s="511"/>
    </row>
    <row r="53" spans="1:11">
      <c r="A53" s="511"/>
      <c r="B53" s="358"/>
      <c r="C53" s="186"/>
      <c r="D53" s="474" t="s">
        <v>275</v>
      </c>
      <c r="E53" s="841" t="s">
        <v>128</v>
      </c>
      <c r="F53" s="332"/>
      <c r="G53" s="333" t="str">
        <f>IFERROR(VLOOKUP(E53,Emissionsfaktoren_Prozesse!$D$108:$R$156,3,FALSE),"")</f>
        <v/>
      </c>
      <c r="H53" s="334"/>
      <c r="I53" s="149"/>
      <c r="J53" s="84"/>
      <c r="K53" s="511"/>
    </row>
    <row r="54" spans="1:11" ht="14.5" customHeight="1">
      <c r="A54" s="511"/>
      <c r="B54" s="358"/>
      <c r="C54" s="186"/>
      <c r="D54" s="474"/>
      <c r="E54" s="533"/>
      <c r="F54" s="65"/>
      <c r="G54" s="335"/>
      <c r="H54" s="65"/>
      <c r="I54" s="325" t="s">
        <v>1726</v>
      </c>
      <c r="J54" s="84"/>
      <c r="K54" s="511"/>
    </row>
    <row r="55" spans="1:11" ht="14.5" customHeight="1">
      <c r="A55" s="511"/>
      <c r="B55" s="358"/>
      <c r="C55" s="186"/>
      <c r="D55" s="474" t="s">
        <v>276</v>
      </c>
      <c r="E55" s="841" t="s">
        <v>128</v>
      </c>
      <c r="F55" s="332"/>
      <c r="G55" s="333" t="str">
        <f>IFERROR(VLOOKUP(E55,Emissionsfaktoren_Prozesse!$D$108:$R$156,3,FALSE),"")</f>
        <v/>
      </c>
      <c r="H55" s="334"/>
      <c r="I55" s="325" t="s">
        <v>1732</v>
      </c>
      <c r="J55" s="84"/>
      <c r="K55" s="511"/>
    </row>
    <row r="56" spans="1:11">
      <c r="A56" s="511"/>
      <c r="B56" s="358"/>
      <c r="C56" s="186"/>
      <c r="D56" s="474"/>
      <c r="E56" s="533"/>
      <c r="F56" s="65"/>
      <c r="G56" s="335"/>
      <c r="H56" s="65"/>
      <c r="I56" s="149"/>
      <c r="J56" s="84"/>
      <c r="K56" s="511"/>
    </row>
    <row r="57" spans="1:11" ht="14.65" customHeight="1">
      <c r="A57" s="511"/>
      <c r="B57" s="358"/>
      <c r="C57" s="186"/>
      <c r="D57" s="474" t="s">
        <v>277</v>
      </c>
      <c r="E57" s="841" t="s">
        <v>128</v>
      </c>
      <c r="F57" s="332"/>
      <c r="G57" s="333" t="str">
        <f>IFERROR(VLOOKUP(E57,Emissionsfaktoren_Prozesse!$D$108:$R$156,3,FALSE),"")</f>
        <v/>
      </c>
      <c r="H57" s="334"/>
      <c r="I57" s="325" t="s">
        <v>278</v>
      </c>
      <c r="J57" s="84"/>
      <c r="K57" s="511"/>
    </row>
    <row r="58" spans="1:11" ht="14.25" customHeight="1">
      <c r="A58" s="511"/>
      <c r="B58" s="358"/>
      <c r="C58" s="186"/>
      <c r="D58" s="474"/>
      <c r="E58" s="533"/>
      <c r="F58" s="65"/>
      <c r="G58" s="335"/>
      <c r="H58" s="65"/>
      <c r="I58" s="325" t="s">
        <v>1850</v>
      </c>
      <c r="J58" s="84"/>
      <c r="K58" s="511"/>
    </row>
    <row r="59" spans="1:11">
      <c r="A59" s="511"/>
      <c r="B59" s="358"/>
      <c r="C59" s="186"/>
      <c r="D59" s="474" t="s">
        <v>279</v>
      </c>
      <c r="E59" s="841" t="s">
        <v>128</v>
      </c>
      <c r="F59" s="332"/>
      <c r="G59" s="333" t="str">
        <f>IFERROR(VLOOKUP(E59,Emissionsfaktoren_Prozesse!$D$108:$R$156,3,FALSE),"")</f>
        <v/>
      </c>
      <c r="H59" s="334"/>
      <c r="I59" s="404"/>
      <c r="J59" s="84"/>
      <c r="K59" s="511"/>
    </row>
    <row r="60" spans="1:11" ht="14.25" customHeight="1">
      <c r="A60" s="511"/>
      <c r="B60" s="358"/>
      <c r="C60" s="186"/>
      <c r="D60" s="474"/>
      <c r="E60" s="533"/>
      <c r="F60" s="65"/>
      <c r="G60" s="335"/>
      <c r="H60" s="65"/>
      <c r="I60" s="325" t="s">
        <v>280</v>
      </c>
      <c r="J60" s="84"/>
      <c r="K60" s="511"/>
    </row>
    <row r="61" spans="1:11">
      <c r="A61" s="511"/>
      <c r="B61" s="358"/>
      <c r="C61" s="186"/>
      <c r="D61" s="474" t="s">
        <v>281</v>
      </c>
      <c r="E61" s="841" t="s">
        <v>128</v>
      </c>
      <c r="F61" s="332"/>
      <c r="G61" s="333" t="str">
        <f>IFERROR(VLOOKUP(E61,Emissionsfaktoren_Prozesse!$D$108:$R$156,3,FALSE),"")</f>
        <v/>
      </c>
      <c r="H61" s="334"/>
      <c r="I61" s="326" t="s">
        <v>282</v>
      </c>
      <c r="J61" s="84"/>
      <c r="K61" s="511"/>
    </row>
    <row r="62" spans="1:11">
      <c r="A62" s="511"/>
      <c r="B62" s="358"/>
      <c r="C62" s="186"/>
      <c r="D62" s="358"/>
      <c r="E62" s="404"/>
      <c r="F62" s="358"/>
      <c r="G62" s="85"/>
      <c r="H62" s="85"/>
      <c r="I62" s="149"/>
      <c r="J62" s="84"/>
      <c r="K62" s="511"/>
    </row>
    <row r="63" spans="1:11" ht="15" thickBot="1">
      <c r="A63" s="511"/>
      <c r="B63" s="358"/>
      <c r="C63" s="188"/>
      <c r="D63" s="189"/>
      <c r="E63" s="190"/>
      <c r="F63" s="189"/>
      <c r="G63" s="191"/>
      <c r="H63" s="191"/>
      <c r="I63" s="307"/>
      <c r="J63" s="358"/>
      <c r="K63" s="511"/>
    </row>
    <row r="64" spans="1:11" ht="15" thickTop="1">
      <c r="A64" s="511"/>
      <c r="B64" s="358"/>
      <c r="C64" s="358"/>
      <c r="D64" s="358"/>
      <c r="E64" s="404"/>
      <c r="F64" s="358"/>
      <c r="G64" s="358"/>
      <c r="H64" s="358"/>
      <c r="I64" s="516"/>
      <c r="J64" s="358"/>
      <c r="K64" s="511"/>
    </row>
    <row r="65" spans="1:11" ht="21.5" thickBot="1">
      <c r="A65" s="511"/>
      <c r="B65" s="358"/>
      <c r="C65" s="296" t="s">
        <v>283</v>
      </c>
      <c r="D65" s="358"/>
      <c r="E65" s="404"/>
      <c r="F65" s="358"/>
      <c r="G65" s="358"/>
      <c r="H65" s="358"/>
      <c r="I65" s="516"/>
      <c r="J65" s="358"/>
      <c r="K65" s="511"/>
    </row>
    <row r="66" spans="1:11" ht="19" thickTop="1">
      <c r="A66" s="511"/>
      <c r="B66" s="358"/>
      <c r="C66" s="182"/>
      <c r="D66" s="183"/>
      <c r="E66" s="184"/>
      <c r="F66" s="183"/>
      <c r="G66" s="185"/>
      <c r="H66" s="185"/>
      <c r="I66" s="329" t="s">
        <v>239</v>
      </c>
      <c r="J66" s="358"/>
      <c r="K66" s="511"/>
    </row>
    <row r="67" spans="1:11" ht="18.5">
      <c r="A67" s="511"/>
      <c r="B67" s="358"/>
      <c r="C67" s="186"/>
      <c r="D67" s="62"/>
      <c r="E67" s="117"/>
      <c r="F67" s="62"/>
      <c r="G67" s="210"/>
      <c r="H67" s="210"/>
      <c r="I67" s="308"/>
      <c r="J67" s="358"/>
      <c r="K67" s="511"/>
    </row>
    <row r="68" spans="1:11" ht="14.5" customHeight="1">
      <c r="A68" s="511"/>
      <c r="B68" s="62">
        <f>IF(AND(E73&lt;&gt;"[Bitte auswählen]",F73&lt;&gt;""),1,0)</f>
        <v>0</v>
      </c>
      <c r="C68" s="186"/>
      <c r="D68" s="313" t="s">
        <v>1921</v>
      </c>
      <c r="E68" s="421"/>
      <c r="F68" s="524" t="s">
        <v>284</v>
      </c>
      <c r="G68" s="833"/>
      <c r="H68" s="833"/>
      <c r="I68" s="327" t="s">
        <v>285</v>
      </c>
      <c r="J68" s="358"/>
      <c r="K68" s="511"/>
    </row>
    <row r="69" spans="1:11" ht="14.15" customHeight="1">
      <c r="A69" s="511"/>
      <c r="B69" s="358"/>
      <c r="C69" s="186"/>
      <c r="D69" s="313" t="s">
        <v>1776</v>
      </c>
      <c r="E69" s="525"/>
      <c r="F69" s="839" t="s">
        <v>1757</v>
      </c>
      <c r="G69" s="832" t="s">
        <v>286</v>
      </c>
      <c r="H69" s="833"/>
      <c r="I69" s="327" t="s">
        <v>1777</v>
      </c>
      <c r="J69" s="358"/>
      <c r="K69" s="511"/>
    </row>
    <row r="70" spans="1:11" ht="43.5">
      <c r="A70" s="511"/>
      <c r="B70" s="358"/>
      <c r="C70" s="186"/>
      <c r="D70" s="838" t="s">
        <v>401</v>
      </c>
      <c r="E70" s="588">
        <f>IF(E69="",E68,E68*E69)</f>
        <v>0</v>
      </c>
      <c r="F70" s="526" t="str">
        <f>IF(F69="",F68,F69)</f>
        <v>Stunden</v>
      </c>
      <c r="G70" s="84"/>
      <c r="H70" s="84"/>
      <c r="I70" s="149" t="s">
        <v>1728</v>
      </c>
      <c r="J70" s="358"/>
      <c r="K70" s="511"/>
    </row>
    <row r="71" spans="1:11">
      <c r="A71" s="511"/>
      <c r="B71" s="358"/>
      <c r="C71" s="186"/>
      <c r="D71" s="110"/>
      <c r="E71" s="404"/>
      <c r="F71" s="358"/>
      <c r="G71" s="85"/>
      <c r="H71" s="85"/>
      <c r="I71" s="149"/>
      <c r="J71" s="358"/>
      <c r="K71" s="511"/>
    </row>
    <row r="72" spans="1:11">
      <c r="A72" s="511"/>
      <c r="B72" s="358"/>
      <c r="C72" s="186"/>
      <c r="D72" s="110"/>
      <c r="E72" s="321" t="s">
        <v>287</v>
      </c>
      <c r="F72" s="72" t="s">
        <v>1729</v>
      </c>
      <c r="G72" s="85"/>
      <c r="H72" s="85"/>
      <c r="I72" s="149"/>
      <c r="J72" s="358"/>
      <c r="K72" s="511"/>
    </row>
    <row r="73" spans="1:11" ht="14.5" customHeight="1">
      <c r="A73" s="511"/>
      <c r="B73" s="358"/>
      <c r="C73" s="186"/>
      <c r="D73" s="313" t="s">
        <v>288</v>
      </c>
      <c r="E73" s="527" t="s">
        <v>128</v>
      </c>
      <c r="F73" s="855"/>
      <c r="G73" s="528" t="str">
        <f>IFERROR(VLOOKUP(E73,Emissionsfaktoren_Prozesse!$E$4:$F$103,2,FALSE),"")</f>
        <v/>
      </c>
      <c r="H73" s="529" t="s">
        <v>289</v>
      </c>
      <c r="I73" s="149" t="s">
        <v>290</v>
      </c>
      <c r="J73" s="358"/>
      <c r="K73" s="511"/>
    </row>
    <row r="74" spans="1:11" ht="14.15" customHeight="1">
      <c r="A74" s="511"/>
      <c r="B74" s="358"/>
      <c r="C74" s="186"/>
      <c r="D74" s="313" t="s">
        <v>288</v>
      </c>
      <c r="E74" s="527" t="s">
        <v>128</v>
      </c>
      <c r="F74" s="855"/>
      <c r="G74" s="528" t="str">
        <f>IFERROR(VLOOKUP(E74,Emissionsfaktoren_Prozesse!$E$4:$F$103,2,FALSE),"")</f>
        <v/>
      </c>
      <c r="H74" s="529" t="s">
        <v>289</v>
      </c>
      <c r="I74" s="66" t="s">
        <v>1875</v>
      </c>
      <c r="J74" s="358"/>
      <c r="K74" s="511"/>
    </row>
    <row r="75" spans="1:11" ht="14.15" customHeight="1">
      <c r="A75" s="511"/>
      <c r="B75" s="358"/>
      <c r="C75" s="186"/>
      <c r="D75" s="313" t="s">
        <v>288</v>
      </c>
      <c r="E75" s="527" t="s">
        <v>128</v>
      </c>
      <c r="F75" s="855"/>
      <c r="G75" s="528" t="str">
        <f>IFERROR(VLOOKUP(E75,Emissionsfaktoren_Prozesse!$E$4:$F$103,2,FALSE),"")</f>
        <v/>
      </c>
      <c r="H75" s="529" t="s">
        <v>289</v>
      </c>
      <c r="I75" s="149"/>
      <c r="J75" s="358"/>
      <c r="K75" s="511"/>
    </row>
    <row r="76" spans="1:11" ht="15" thickBot="1">
      <c r="A76" s="511"/>
      <c r="B76" s="358"/>
      <c r="C76" s="187"/>
      <c r="D76" s="519"/>
      <c r="E76" s="520"/>
      <c r="F76" s="519"/>
      <c r="G76" s="87"/>
      <c r="H76" s="87"/>
      <c r="I76" s="309"/>
      <c r="J76" s="358"/>
      <c r="K76" s="511"/>
    </row>
    <row r="77" spans="1:11" ht="15" thickTop="1">
      <c r="A77" s="511"/>
      <c r="B77" s="358"/>
      <c r="C77" s="186"/>
      <c r="D77" s="358"/>
      <c r="E77" s="404"/>
      <c r="F77" s="358"/>
      <c r="G77" s="85"/>
      <c r="H77" s="85"/>
      <c r="I77" s="249"/>
      <c r="J77" s="358"/>
      <c r="K77" s="511"/>
    </row>
    <row r="78" spans="1:11">
      <c r="A78" s="511"/>
      <c r="B78" s="62">
        <f>IF(E80="[Bitte auswählen]",0,1)</f>
        <v>0</v>
      </c>
      <c r="C78" s="186"/>
      <c r="D78" s="311" t="s">
        <v>291</v>
      </c>
      <c r="E78" s="404"/>
      <c r="F78" s="358"/>
      <c r="G78" s="358"/>
      <c r="H78" s="85"/>
      <c r="I78" s="149"/>
      <c r="J78" s="358"/>
      <c r="K78" s="511"/>
    </row>
    <row r="79" spans="1:11" ht="54.5" customHeight="1">
      <c r="A79" s="511"/>
      <c r="B79" s="62"/>
      <c r="C79" s="186"/>
      <c r="D79" s="311"/>
      <c r="E79" s="321" t="s">
        <v>251</v>
      </c>
      <c r="F79" s="321" t="s">
        <v>1922</v>
      </c>
      <c r="G79" s="72" t="s">
        <v>292</v>
      </c>
      <c r="H79" s="85"/>
      <c r="I79" s="149" t="s">
        <v>1923</v>
      </c>
      <c r="J79" s="358"/>
      <c r="K79" s="511"/>
    </row>
    <row r="80" spans="1:11" ht="43.5">
      <c r="A80" s="511"/>
      <c r="B80" s="358"/>
      <c r="C80" s="186"/>
      <c r="D80" s="474" t="s">
        <v>271</v>
      </c>
      <c r="E80" s="517" t="s">
        <v>128</v>
      </c>
      <c r="F80" s="522"/>
      <c r="G80" s="511">
        <f>IFERROR(VLOOKUP(E80,Emissionsfaktoren_Lebenszyklus!$C$5:$J$17,6,FALSE),0)*F80</f>
        <v>0</v>
      </c>
      <c r="H80" s="65" t="s">
        <v>293</v>
      </c>
      <c r="I80" s="118" t="s">
        <v>1731</v>
      </c>
      <c r="J80" s="358"/>
      <c r="K80" s="511"/>
    </row>
    <row r="81" spans="1:11">
      <c r="A81" s="511"/>
      <c r="B81" s="358"/>
      <c r="C81" s="186"/>
      <c r="D81" s="474"/>
      <c r="E81" s="404"/>
      <c r="F81" s="358"/>
      <c r="G81" s="358"/>
      <c r="H81" s="65"/>
      <c r="I81" s="404"/>
      <c r="J81" s="358"/>
      <c r="K81" s="511"/>
    </row>
    <row r="82" spans="1:11" ht="43.5">
      <c r="A82" s="511"/>
      <c r="B82" s="358"/>
      <c r="C82" s="186"/>
      <c r="D82" s="474" t="s">
        <v>273</v>
      </c>
      <c r="E82" s="517" t="s">
        <v>128</v>
      </c>
      <c r="F82" s="522"/>
      <c r="G82" s="511">
        <f>IFERROR(VLOOKUP(E82,Emissionsfaktoren_Lebenszyklus!$C$5:$J$17,6,FALSE),0)*F82</f>
        <v>0</v>
      </c>
      <c r="H82" s="65" t="s">
        <v>293</v>
      </c>
      <c r="I82" s="149" t="s">
        <v>1730</v>
      </c>
      <c r="J82" s="358"/>
      <c r="K82" s="511"/>
    </row>
    <row r="83" spans="1:11" ht="14.5" customHeight="1">
      <c r="A83" s="511"/>
      <c r="B83" s="358"/>
      <c r="C83" s="186"/>
      <c r="D83" s="474"/>
      <c r="E83" s="404"/>
      <c r="F83" s="358"/>
      <c r="G83" s="358"/>
      <c r="H83" s="65"/>
      <c r="I83" s="404"/>
      <c r="J83" s="358"/>
      <c r="K83" s="511"/>
    </row>
    <row r="84" spans="1:11">
      <c r="A84" s="511"/>
      <c r="B84" s="358"/>
      <c r="C84" s="186"/>
      <c r="D84" s="474" t="s">
        <v>275</v>
      </c>
      <c r="E84" s="517" t="s">
        <v>128</v>
      </c>
      <c r="F84" s="522"/>
      <c r="G84" s="511">
        <f>IFERROR(VLOOKUP(E84,Emissionsfaktoren_Lebenszyklus!$C$5:$J$17,6,FALSE),0)*F84</f>
        <v>0</v>
      </c>
      <c r="H84" s="65" t="s">
        <v>293</v>
      </c>
      <c r="I84" s="149" t="s">
        <v>294</v>
      </c>
      <c r="J84" s="358"/>
      <c r="K84" s="511"/>
    </row>
    <row r="85" spans="1:11">
      <c r="A85" s="511"/>
      <c r="B85" s="358"/>
      <c r="C85" s="186"/>
      <c r="D85" s="474"/>
      <c r="E85" s="404"/>
      <c r="F85" s="358"/>
      <c r="G85" s="358"/>
      <c r="H85" s="65"/>
      <c r="I85" s="149"/>
      <c r="J85" s="358"/>
      <c r="K85" s="511"/>
    </row>
    <row r="86" spans="1:11" ht="14.5" customHeight="1">
      <c r="A86" s="511"/>
      <c r="B86" s="358"/>
      <c r="C86" s="186"/>
      <c r="D86" s="474" t="s">
        <v>276</v>
      </c>
      <c r="E86" s="517" t="s">
        <v>128</v>
      </c>
      <c r="F86" s="522"/>
      <c r="G86" s="511">
        <f>IFERROR(VLOOKUP(E86,Emissionsfaktoren_Lebenszyklus!$C$5:$J$17,6,FALSE),0)*F86</f>
        <v>0</v>
      </c>
      <c r="H86" s="65" t="s">
        <v>293</v>
      </c>
      <c r="I86" s="149"/>
      <c r="J86" s="358"/>
      <c r="K86" s="511"/>
    </row>
    <row r="87" spans="1:11" ht="14.5" customHeight="1">
      <c r="A87" s="511"/>
      <c r="B87" s="358"/>
      <c r="C87" s="186"/>
      <c r="D87" s="474"/>
      <c r="E87" s="404"/>
      <c r="F87" s="358"/>
      <c r="G87" s="358"/>
      <c r="H87" s="65"/>
      <c r="I87" s="149"/>
      <c r="J87" s="358"/>
      <c r="K87" s="511"/>
    </row>
    <row r="88" spans="1:11">
      <c r="A88" s="511"/>
      <c r="B88" s="358"/>
      <c r="C88" s="186"/>
      <c r="D88" s="474" t="s">
        <v>277</v>
      </c>
      <c r="E88" s="517" t="s">
        <v>128</v>
      </c>
      <c r="F88" s="522"/>
      <c r="G88" s="511">
        <f>IFERROR(VLOOKUP(E88,Emissionsfaktoren_Lebenszyklus!$C$5:$J$17,6,FALSE),0)*F88</f>
        <v>0</v>
      </c>
      <c r="H88" s="65" t="s">
        <v>293</v>
      </c>
      <c r="I88" s="149"/>
      <c r="J88" s="358"/>
      <c r="K88" s="511"/>
    </row>
    <row r="89" spans="1:11">
      <c r="A89" s="511"/>
      <c r="B89" s="358"/>
      <c r="C89" s="186"/>
      <c r="D89" s="474"/>
      <c r="E89" s="404"/>
      <c r="F89" s="358"/>
      <c r="G89" s="358"/>
      <c r="H89" s="65"/>
      <c r="I89" s="149"/>
      <c r="J89" s="358"/>
      <c r="K89" s="511"/>
    </row>
    <row r="90" spans="1:11">
      <c r="A90" s="511"/>
      <c r="B90" s="358"/>
      <c r="C90" s="186"/>
      <c r="D90" s="474" t="s">
        <v>279</v>
      </c>
      <c r="E90" s="517" t="s">
        <v>128</v>
      </c>
      <c r="F90" s="522"/>
      <c r="G90" s="511">
        <f>IFERROR(VLOOKUP(E90,Emissionsfaktoren_Lebenszyklus!$C$5:$J$17,6,FALSE),0)*F90</f>
        <v>0</v>
      </c>
      <c r="H90" s="65" t="s">
        <v>293</v>
      </c>
      <c r="I90" s="149"/>
      <c r="J90" s="358"/>
      <c r="K90" s="511"/>
    </row>
    <row r="91" spans="1:11">
      <c r="A91" s="511"/>
      <c r="B91" s="358"/>
      <c r="C91" s="186"/>
      <c r="D91" s="474"/>
      <c r="E91" s="404"/>
      <c r="F91" s="358"/>
      <c r="G91" s="358"/>
      <c r="H91" s="65"/>
      <c r="I91" s="149"/>
      <c r="J91" s="358"/>
      <c r="K91" s="511"/>
    </row>
    <row r="92" spans="1:11">
      <c r="A92" s="511"/>
      <c r="B92" s="358"/>
      <c r="C92" s="186"/>
      <c r="D92" s="474" t="s">
        <v>281</v>
      </c>
      <c r="E92" s="517" t="s">
        <v>128</v>
      </c>
      <c r="F92" s="522"/>
      <c r="G92" s="511">
        <f>IFERROR(VLOOKUP(E92,Emissionsfaktoren_Lebenszyklus!$C$5:$J$17,6,FALSE),0)*F92</f>
        <v>0</v>
      </c>
      <c r="H92" s="65" t="s">
        <v>293</v>
      </c>
      <c r="I92" s="149"/>
      <c r="J92" s="358"/>
      <c r="K92" s="511"/>
    </row>
    <row r="93" spans="1:11">
      <c r="A93" s="511"/>
      <c r="B93" s="358"/>
      <c r="C93" s="186"/>
      <c r="D93" s="474"/>
      <c r="E93" s="404"/>
      <c r="F93" s="358"/>
      <c r="G93" s="358"/>
      <c r="H93" s="65"/>
      <c r="I93" s="149"/>
      <c r="J93" s="358"/>
      <c r="K93" s="511"/>
    </row>
    <row r="94" spans="1:11">
      <c r="A94" s="511"/>
      <c r="B94" s="358"/>
      <c r="C94" s="186"/>
      <c r="D94" s="474" t="s">
        <v>295</v>
      </c>
      <c r="E94" s="517" t="s">
        <v>128</v>
      </c>
      <c r="F94" s="522"/>
      <c r="G94" s="511">
        <f>IFERROR(VLOOKUP(E94,Emissionsfaktoren_Lebenszyklus!$C$5:$J$17,6,FALSE),0)*F94</f>
        <v>0</v>
      </c>
      <c r="H94" s="65" t="s">
        <v>293</v>
      </c>
      <c r="I94" s="149"/>
      <c r="J94" s="358"/>
      <c r="K94" s="511"/>
    </row>
    <row r="95" spans="1:11">
      <c r="A95" s="511"/>
      <c r="B95" s="358"/>
      <c r="C95" s="186"/>
      <c r="D95" s="358"/>
      <c r="E95" s="404"/>
      <c r="F95" s="358"/>
      <c r="G95" s="86"/>
      <c r="H95" s="86"/>
      <c r="I95" s="149"/>
      <c r="J95" s="358"/>
      <c r="K95" s="511"/>
    </row>
    <row r="96" spans="1:11" ht="15" thickBot="1">
      <c r="A96" s="511"/>
      <c r="B96" s="358"/>
      <c r="C96" s="188"/>
      <c r="D96" s="189"/>
      <c r="E96" s="190"/>
      <c r="F96" s="189"/>
      <c r="G96" s="191"/>
      <c r="H96" s="191"/>
      <c r="I96" s="310"/>
      <c r="J96" s="358"/>
      <c r="K96" s="511"/>
    </row>
    <row r="97" spans="1:11" ht="15" thickTop="1">
      <c r="A97" s="511"/>
      <c r="B97" s="358"/>
      <c r="C97" s="358"/>
      <c r="D97" s="358"/>
      <c r="E97" s="404"/>
      <c r="F97" s="358"/>
      <c r="G97" s="358"/>
      <c r="H97" s="358"/>
      <c r="I97" s="484"/>
      <c r="J97" s="358"/>
      <c r="K97" s="511"/>
    </row>
    <row r="98" spans="1:11" ht="14.5" customHeight="1">
      <c r="A98" s="511"/>
      <c r="B98" s="511"/>
      <c r="C98" s="511"/>
      <c r="D98" s="511"/>
      <c r="E98" s="512"/>
      <c r="F98" s="511"/>
      <c r="G98" s="511"/>
      <c r="H98" s="511"/>
      <c r="I98" s="513"/>
      <c r="J98" s="511"/>
      <c r="K98" s="511"/>
    </row>
  </sheetData>
  <hyperlinks>
    <hyperlink ref="I40" r:id="rId1" xr:uid="{AB674B14-AF2D-42AA-B549-CBCE82D6D57E}"/>
    <hyperlink ref="I61" r:id="rId2" xr:uid="{4ACFC3CE-8280-4C37-803A-0153935C2E07}"/>
    <hyperlink ref="H3" location="'Aufbau LCC-CO2-Tool'!A1" display="zurück zur Übersicht" xr:uid="{1D3906D1-1F8B-493D-9A98-E3AAAA3912CF}"/>
    <hyperlink ref="H4" location="'Anleitung für Beschaffende'!A18" display="zurück zur Anleitung für Beschaffende " xr:uid="{E110DB81-2170-44B4-8564-C53CD075E676}"/>
    <hyperlink ref="H5" location="'Anleitung für Bietende'!A14" display="zurück zur Anleitung für Bietende" xr:uid="{05C639F8-1223-4CF7-B462-58AE60B3B256}"/>
  </hyperlinks>
  <pageMargins left="0.70866141732283472" right="0.70866141732283472" top="0.78740157480314965" bottom="0.78740157480314965" header="0.31496062992125984" footer="0.31496062992125984"/>
  <pageSetup paperSize="9" scale="38" orientation="portrait" r:id="rId3"/>
  <headerFooter>
    <oddHeader>&amp;C&amp;14&amp;KFF0000TESTVERSION!</oddHeader>
    <oddFooter>&amp;L&amp;8&amp;K000000LCC-CO2-Tool - Arbeitshilfe des Umweltbundesamtes&amp;C&amp;8Berechnung der THG-Emissionen &amp;Umit&amp;U Zertifikat&amp;R&amp;8&amp;P</oddFooter>
  </headerFooter>
  <drawing r:id="rId4"/>
  <legacyDrawing r:id="rId5"/>
  <extLst>
    <ext xmlns:x14="http://schemas.microsoft.com/office/spreadsheetml/2009/9/main" uri="{CCE6A557-97BC-4b89-ADB6-D9C93CAAB3DF}">
      <x14:dataValidations xmlns:xm="http://schemas.microsoft.com/office/excel/2006/main" count="4">
        <x14:dataValidation type="list" allowBlank="1" showInputMessage="1" xr:uid="{1F409EF7-B3B1-4A5A-9394-FC17B6B1B703}">
          <x14:formula1>
            <xm:f>Emissionsfaktoren_Prozesse!$D$106:$D$156</xm:f>
          </x14:formula1>
          <xm:sqref>E61 E59 E57 E55 E53 E51 E49</xm:sqref>
        </x14:dataValidation>
        <x14:dataValidation type="list" allowBlank="1" showInputMessage="1" xr:uid="{42BCE58E-D38A-41CC-A828-B15D919AB941}">
          <x14:formula1>
            <xm:f>Emissionsfaktoren_Prozesse!$E$3:$E$103</xm:f>
          </x14:formula1>
          <xm:sqref>E73:E75</xm:sqref>
        </x14:dataValidation>
        <x14:dataValidation type="list" allowBlank="1" showInputMessage="1" showErrorMessage="1" xr:uid="{EB448192-9579-4CB6-9AB5-C52C2B5359B5}">
          <x14:formula1>
            <xm:f>Emissionsfaktoren_Prozesse!$D$159:$D$183</xm:f>
          </x14:formula1>
          <xm:sqref>E32 E44 E42 E40 E38 E36 E34</xm:sqref>
        </x14:dataValidation>
        <x14:dataValidation type="list" allowBlank="1" showInputMessage="1" xr:uid="{F0F84E37-E726-4F0F-B266-DECB269C3817}">
          <x14:formula1>
            <xm:f>Emissionsfaktoren_Lebenszyklus!$C$3:$C$17</xm:f>
          </x14:formula1>
          <xm:sqref>E80 E94 E92 E90 E88 E86 E84 E82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tabColor rgb="FFD9BBD8"/>
    <pageSetUpPr fitToPage="1"/>
  </sheetPr>
  <dimension ref="A1:S47"/>
  <sheetViews>
    <sheetView showGridLines="0" tabSelected="1" topLeftCell="B1" zoomScale="80" zoomScaleNormal="80" workbookViewId="0">
      <selection sqref="A1:R47"/>
    </sheetView>
  </sheetViews>
  <sheetFormatPr baseColWidth="10" defaultColWidth="8" defaultRowHeight="14.5"/>
  <cols>
    <col min="1" max="1" width="2.08203125" style="53" customWidth="1"/>
    <col min="2" max="2" width="3.58203125" style="53" customWidth="1"/>
    <col min="3" max="3" width="2.08203125" style="53" customWidth="1"/>
    <col min="4" max="4" width="45.58203125" style="53" customWidth="1"/>
    <col min="5" max="6" width="20.58203125" style="53" customWidth="1"/>
    <col min="7" max="7" width="3.58203125" style="53" customWidth="1"/>
    <col min="8" max="8" width="2.08203125" style="53" customWidth="1"/>
    <col min="9" max="9" width="2.58203125" style="53" customWidth="1"/>
    <col min="10" max="10" width="2.08203125" style="53" customWidth="1"/>
    <col min="11" max="11" width="4.58203125" style="53" customWidth="1"/>
    <col min="12" max="14" width="20.58203125" style="53" customWidth="1"/>
    <col min="15" max="15" width="55" style="53" customWidth="1"/>
    <col min="16" max="16" width="2.08203125" style="53" customWidth="1"/>
    <col min="17" max="17" width="2.58203125" style="53" customWidth="1"/>
    <col min="18" max="18" width="2.08203125" style="53" customWidth="1"/>
    <col min="19" max="16384" width="8" style="53"/>
  </cols>
  <sheetData>
    <row r="1" spans="1:19" ht="14.5" customHeight="1" thickBot="1">
      <c r="A1" s="827"/>
      <c r="B1" s="827"/>
      <c r="C1" s="827"/>
      <c r="D1" s="827"/>
      <c r="E1" s="827"/>
      <c r="F1" s="827"/>
      <c r="G1" s="827"/>
      <c r="H1" s="827"/>
      <c r="I1" s="827"/>
      <c r="J1" s="827"/>
      <c r="K1" s="827"/>
      <c r="L1" s="827"/>
      <c r="M1" s="827"/>
      <c r="N1" s="827"/>
      <c r="O1" s="827"/>
      <c r="P1" s="827"/>
      <c r="Q1" s="827"/>
      <c r="R1" s="543"/>
    </row>
    <row r="2" spans="1:19" ht="33.5" customHeight="1" thickTop="1">
      <c r="A2" s="543"/>
      <c r="B2" s="499"/>
      <c r="D2" s="630" t="s">
        <v>1718</v>
      </c>
      <c r="E2" s="196"/>
      <c r="F2" s="196"/>
      <c r="G2" s="196"/>
      <c r="H2" s="196"/>
      <c r="I2" s="196"/>
      <c r="J2" s="196"/>
      <c r="K2" s="196"/>
      <c r="L2" s="196"/>
      <c r="M2" s="196"/>
      <c r="N2" s="196"/>
      <c r="O2" s="196"/>
      <c r="P2" s="69"/>
      <c r="Q2" s="52"/>
      <c r="R2" s="543"/>
    </row>
    <row r="3" spans="1:19" ht="33.5" customHeight="1">
      <c r="A3" s="543"/>
      <c r="B3" s="499"/>
      <c r="C3" s="499"/>
      <c r="D3" s="672" t="s">
        <v>92</v>
      </c>
      <c r="F3" s="1001" t="s">
        <v>1886</v>
      </c>
      <c r="G3" s="6"/>
      <c r="H3" s="6"/>
      <c r="I3" s="51"/>
      <c r="J3" s="784"/>
      <c r="K3" s="6"/>
      <c r="L3" s="6"/>
      <c r="M3" s="6"/>
      <c r="N3" s="6"/>
      <c r="O3" s="6"/>
      <c r="P3" s="6"/>
      <c r="Q3" s="51"/>
      <c r="R3" s="543"/>
    </row>
    <row r="4" spans="1:19" ht="21.5" thickBot="1">
      <c r="A4" s="543"/>
      <c r="B4" s="499"/>
      <c r="C4" s="358"/>
      <c r="D4" s="746" t="s">
        <v>44</v>
      </c>
      <c r="F4" s="1001" t="s">
        <v>1887</v>
      </c>
      <c r="H4" s="673"/>
      <c r="I4" s="696"/>
      <c r="J4" s="785" t="s">
        <v>1719</v>
      </c>
      <c r="K4" s="799"/>
      <c r="L4" s="799"/>
      <c r="M4" s="800"/>
      <c r="N4" s="800"/>
      <c r="O4" s="800"/>
      <c r="P4" s="745"/>
      <c r="Q4" s="51"/>
      <c r="R4" s="543"/>
      <c r="S4" s="996"/>
    </row>
    <row r="5" spans="1:19" ht="14.5" customHeight="1" thickTop="1">
      <c r="A5" s="543"/>
      <c r="B5" s="499"/>
      <c r="C5" s="358"/>
      <c r="F5" s="1001" t="s">
        <v>1888</v>
      </c>
      <c r="H5" s="673"/>
      <c r="I5" s="696"/>
      <c r="J5" s="745"/>
      <c r="K5" s="736"/>
      <c r="L5" s="673"/>
      <c r="M5" s="731" t="s">
        <v>1712</v>
      </c>
      <c r="N5" s="673"/>
      <c r="O5" s="737"/>
      <c r="P5" s="745"/>
      <c r="Q5" s="51"/>
      <c r="R5" s="543"/>
      <c r="S5" s="996"/>
    </row>
    <row r="6" spans="1:19" ht="14.5" customHeight="1">
      <c r="A6" s="543"/>
      <c r="B6" s="499"/>
      <c r="C6" s="6"/>
      <c r="D6" s="709" t="str">
        <f>IF(Einmalkosten!D7="","",Einmalkosten!D7)</f>
        <v/>
      </c>
      <c r="E6" s="695" t="s">
        <v>1705</v>
      </c>
      <c r="H6" s="673"/>
      <c r="I6" s="696"/>
      <c r="J6" s="745"/>
      <c r="K6" s="736"/>
      <c r="L6" s="634">
        <f>SUM(E18,L18,E35)</f>
        <v>186640</v>
      </c>
      <c r="M6" s="634">
        <f>SUM(E18,L18,F35)</f>
        <v>186640</v>
      </c>
      <c r="N6" s="728" t="str">
        <f>CONCATENATE("Gesamtangebotspreis für die Vertragslaufzeit (",D8," Jahre)")</f>
        <v>Gesamtangebotspreis für die Vertragslaufzeit ( Jahre)</v>
      </c>
      <c r="O6" s="737"/>
      <c r="P6" s="745"/>
      <c r="Q6" s="51"/>
      <c r="R6" s="543"/>
      <c r="S6" s="996"/>
    </row>
    <row r="7" spans="1:19">
      <c r="A7" s="543"/>
      <c r="B7" s="8"/>
      <c r="D7" s="698"/>
      <c r="E7" s="697" t="s">
        <v>1706</v>
      </c>
      <c r="H7" s="632"/>
      <c r="I7" s="633"/>
      <c r="J7" s="745"/>
      <c r="K7" s="736"/>
      <c r="L7" s="729"/>
      <c r="M7" s="980"/>
      <c r="N7" s="728" t="str">
        <f>CONCATENATE("Bei Laufzeitoption: Gesamtangebotspreis nur für zusätzlichen Optionszeitraum (",D9," Jahre)")</f>
        <v>Bei Laufzeitoption: Gesamtangebotspreis nur für zusätzlichen Optionszeitraum ( Jahre)</v>
      </c>
      <c r="O7" s="737"/>
      <c r="P7" s="745"/>
      <c r="Q7" s="51"/>
      <c r="R7" s="543"/>
    </row>
    <row r="8" spans="1:19" ht="20" customHeight="1" thickBot="1">
      <c r="A8" s="543"/>
      <c r="B8" s="8"/>
      <c r="C8" s="6"/>
      <c r="D8" s="716"/>
      <c r="E8" s="695" t="s">
        <v>329</v>
      </c>
      <c r="G8" s="6"/>
      <c r="H8" s="6"/>
      <c r="I8" s="51"/>
      <c r="J8" s="745"/>
      <c r="K8" s="736"/>
      <c r="L8" s="730"/>
      <c r="M8" s="731" t="s">
        <v>1712</v>
      </c>
      <c r="N8" s="732"/>
      <c r="O8" s="737"/>
      <c r="P8" s="745"/>
      <c r="Q8" s="51"/>
      <c r="R8" s="543"/>
    </row>
    <row r="9" spans="1:19" ht="19" thickBot="1">
      <c r="A9" s="543"/>
      <c r="B9" s="8"/>
      <c r="C9" s="6"/>
      <c r="D9" s="715"/>
      <c r="E9" s="714" t="s">
        <v>1710</v>
      </c>
      <c r="G9" s="6"/>
      <c r="H9" s="6"/>
      <c r="I9" s="51"/>
      <c r="J9" s="745"/>
      <c r="K9" s="736"/>
      <c r="L9" s="726">
        <f>SUM(E18,L18,E28,N31)</f>
        <v>279456.03214777238</v>
      </c>
      <c r="M9" s="727">
        <f>SUM(E18,L18,F28,N31)</f>
        <v>286807.42356865178</v>
      </c>
      <c r="N9" s="752" t="str">
        <f>CONCATENATE("LCC-CO2 Gesamtkosten über Lebenszyklus (Betrachtungszeitraum ",E11," Jahre)")</f>
        <v>LCC-CO2 Gesamtkosten über Lebenszyklus (Betrachtungszeitraum 10 Jahre)</v>
      </c>
      <c r="O9" s="772"/>
      <c r="P9" s="745"/>
      <c r="Q9" s="51"/>
      <c r="R9" s="543"/>
    </row>
    <row r="10" spans="1:19">
      <c r="A10" s="543"/>
      <c r="B10" s="8"/>
      <c r="G10" s="635"/>
      <c r="H10" s="636"/>
      <c r="I10" s="637"/>
      <c r="J10" s="745"/>
      <c r="K10" s="738"/>
      <c r="L10" s="673"/>
      <c r="M10" s="731" t="s">
        <v>1712</v>
      </c>
      <c r="N10" s="697"/>
      <c r="O10" s="739"/>
      <c r="P10" s="745"/>
      <c r="Q10" s="51"/>
      <c r="R10" s="543"/>
    </row>
    <row r="11" spans="1:19" ht="16.5">
      <c r="A11" s="543"/>
      <c r="B11" s="8"/>
      <c r="C11" s="6"/>
      <c r="D11" s="1008" t="s">
        <v>1908</v>
      </c>
      <c r="E11" s="747">
        <f>Nutzung!C8</f>
        <v>10</v>
      </c>
      <c r="F11" s="747" t="str">
        <f>Nutzung!D8</f>
        <v xml:space="preserve">Jahr(e) </v>
      </c>
      <c r="G11" s="6"/>
      <c r="H11" s="6"/>
      <c r="I11" s="51"/>
      <c r="J11" s="745"/>
      <c r="K11" s="736"/>
      <c r="L11" s="733">
        <f>IFERROR(SUM(E18,L18,E28,N31)/E11,0)</f>
        <v>27945.603214777238</v>
      </c>
      <c r="M11" s="733">
        <f>IFERROR(SUM(E18,L18,F28,N31)/E11,0)</f>
        <v>28680.742356865179</v>
      </c>
      <c r="N11" s="734" t="s">
        <v>1701</v>
      </c>
      <c r="O11" s="737"/>
      <c r="P11" s="745"/>
      <c r="Q11" s="51"/>
      <c r="R11" s="543"/>
    </row>
    <row r="12" spans="1:19" ht="15" thickBot="1">
      <c r="A12" s="543"/>
      <c r="B12" s="8"/>
      <c r="C12" s="6"/>
      <c r="D12" s="748" t="s">
        <v>1714</v>
      </c>
      <c r="E12" s="749">
        <f>Produktion!C5</f>
        <v>100</v>
      </c>
      <c r="F12" s="749" t="str">
        <f>Produktion!D5</f>
        <v>Arbeitsplatzcomputer, Variante Notebook 3 Jahre</v>
      </c>
      <c r="G12" s="6"/>
      <c r="H12" s="6"/>
      <c r="I12" s="6"/>
      <c r="J12" s="745"/>
      <c r="K12" s="740"/>
      <c r="L12" s="741"/>
      <c r="M12" s="742"/>
      <c r="N12" s="743"/>
      <c r="O12" s="744"/>
      <c r="P12" s="745"/>
      <c r="Q12" s="51"/>
      <c r="R12" s="543"/>
    </row>
    <row r="13" spans="1:19" ht="15" thickTop="1">
      <c r="A13" s="543"/>
      <c r="B13" s="8"/>
      <c r="C13" s="6"/>
      <c r="D13" s="6"/>
      <c r="E13" s="6"/>
      <c r="F13" s="673"/>
      <c r="G13" s="673"/>
      <c r="H13" s="673"/>
      <c r="I13" s="51"/>
      <c r="J13" s="745"/>
      <c r="K13" s="745"/>
      <c r="L13" s="745"/>
      <c r="M13" s="745"/>
      <c r="N13" s="745" t="s">
        <v>328</v>
      </c>
      <c r="O13" s="745"/>
      <c r="P13" s="745"/>
      <c r="Q13" s="51"/>
      <c r="R13" s="543"/>
    </row>
    <row r="14" spans="1:19">
      <c r="A14" s="543"/>
      <c r="B14" s="8"/>
      <c r="C14" s="6"/>
      <c r="D14" s="6"/>
      <c r="E14" s="6"/>
      <c r="F14" s="673"/>
      <c r="G14" s="673"/>
      <c r="H14" s="673"/>
      <c r="I14" s="6"/>
      <c r="J14" s="6"/>
      <c r="K14" s="6"/>
      <c r="L14" s="6"/>
      <c r="M14" s="6"/>
      <c r="N14" s="6"/>
      <c r="O14" s="6"/>
      <c r="P14" s="6"/>
      <c r="Q14" s="51"/>
      <c r="R14" s="543"/>
    </row>
    <row r="15" spans="1:19">
      <c r="A15" s="543"/>
      <c r="B15" s="8"/>
      <c r="C15" s="6"/>
      <c r="D15" s="6"/>
      <c r="E15" s="6"/>
      <c r="F15" s="673"/>
      <c r="G15" s="673"/>
      <c r="H15" s="673"/>
      <c r="I15" s="51"/>
      <c r="J15" s="6"/>
      <c r="K15" s="6"/>
      <c r="L15" s="6"/>
      <c r="M15" s="6"/>
      <c r="N15" s="6"/>
      <c r="O15" s="6"/>
      <c r="P15" s="6"/>
      <c r="Q15" s="51"/>
      <c r="R15" s="543"/>
    </row>
    <row r="16" spans="1:19">
      <c r="A16" s="543"/>
      <c r="B16" s="499"/>
      <c r="C16" s="685" t="s">
        <v>1698</v>
      </c>
      <c r="D16" s="640"/>
      <c r="E16" s="640"/>
      <c r="F16" s="640"/>
      <c r="G16" s="640"/>
      <c r="H16" s="640"/>
      <c r="I16" s="628"/>
      <c r="J16" s="815" t="s">
        <v>1704</v>
      </c>
      <c r="K16" s="640"/>
      <c r="L16" s="640"/>
      <c r="M16" s="640"/>
      <c r="N16" s="640"/>
      <c r="O16" s="640"/>
      <c r="P16" s="640"/>
      <c r="Q16" s="507"/>
      <c r="R16" s="543"/>
    </row>
    <row r="17" spans="1:18" ht="15" thickBot="1">
      <c r="A17" s="543"/>
      <c r="B17" s="499"/>
      <c r="C17" s="500"/>
      <c r="D17" s="641"/>
      <c r="E17" s="641"/>
      <c r="F17" s="641"/>
      <c r="G17" s="641"/>
      <c r="H17" s="640"/>
      <c r="I17" s="628"/>
      <c r="J17" s="816"/>
      <c r="K17" s="641"/>
      <c r="L17" s="641"/>
      <c r="M17" s="641"/>
      <c r="N17" s="641"/>
      <c r="O17" s="641"/>
      <c r="P17" s="640"/>
      <c r="Q17" s="507"/>
      <c r="R17" s="543"/>
    </row>
    <row r="18" spans="1:18" ht="14.5" customHeight="1" thickBot="1">
      <c r="A18" s="543"/>
      <c r="B18" s="499"/>
      <c r="C18" s="145"/>
      <c r="D18" s="717" t="s">
        <v>1697</v>
      </c>
      <c r="E18" s="718">
        <f>IFERROR(E12*Einmalkosten!G32,0)</f>
        <v>186640</v>
      </c>
      <c r="F18" s="642"/>
      <c r="G18" s="642"/>
      <c r="H18" s="693"/>
      <c r="I18" s="694"/>
      <c r="J18" s="817"/>
      <c r="K18" s="352"/>
      <c r="L18" s="719">
        <f>IFERROR(SUM(L20,L22),0)</f>
        <v>0</v>
      </c>
      <c r="M18" s="720" t="s">
        <v>330</v>
      </c>
      <c r="P18" s="640"/>
      <c r="Q18" s="507"/>
      <c r="R18" s="543"/>
    </row>
    <row r="19" spans="1:18">
      <c r="A19" s="543"/>
      <c r="B19" s="499"/>
      <c r="C19" s="146"/>
      <c r="D19" s="8"/>
      <c r="E19" s="646"/>
      <c r="F19" s="646"/>
      <c r="G19" s="646"/>
      <c r="H19" s="640"/>
      <c r="I19" s="628"/>
      <c r="J19" s="816"/>
      <c r="L19" s="641"/>
      <c r="M19" s="691"/>
      <c r="O19" s="641"/>
      <c r="P19" s="640"/>
      <c r="Q19" s="507"/>
      <c r="R19" s="543"/>
    </row>
    <row r="20" spans="1:18">
      <c r="A20" s="543"/>
      <c r="B20" s="499"/>
      <c r="C20" s="146"/>
      <c r="D20" s="974"/>
      <c r="E20" s="975"/>
      <c r="F20" s="645"/>
      <c r="G20" s="645"/>
      <c r="H20" s="647"/>
      <c r="I20" s="637"/>
      <c r="J20" s="816"/>
      <c r="L20" s="648">
        <f>IFERROR(E12*'Transport+Installationskosten'!E11,0)</f>
        <v>0</v>
      </c>
      <c r="M20" s="602" t="s">
        <v>331</v>
      </c>
      <c r="O20" s="641"/>
      <c r="P20" s="640"/>
      <c r="Q20" s="507"/>
      <c r="R20" s="543"/>
    </row>
    <row r="21" spans="1:18">
      <c r="A21" s="543"/>
      <c r="B21" s="499"/>
      <c r="C21" s="146"/>
      <c r="D21" s="976"/>
      <c r="E21" s="977"/>
      <c r="F21" s="646"/>
      <c r="G21" s="646"/>
      <c r="H21" s="640"/>
      <c r="I21" s="628"/>
      <c r="J21" s="816"/>
      <c r="L21" s="650"/>
      <c r="M21" s="691"/>
      <c r="O21" s="641"/>
      <c r="P21" s="640"/>
      <c r="Q21" s="507"/>
      <c r="R21" s="543"/>
    </row>
    <row r="22" spans="1:18">
      <c r="A22" s="543"/>
      <c r="B22" s="499"/>
      <c r="C22" s="146"/>
      <c r="D22" s="974"/>
      <c r="E22" s="975"/>
      <c r="F22" s="645"/>
      <c r="G22" s="645"/>
      <c r="H22" s="647"/>
      <c r="I22" s="637"/>
      <c r="J22" s="816"/>
      <c r="L22" s="648">
        <f>IFERROR(E12*'Transport+Installationskosten'!E17,0)</f>
        <v>0</v>
      </c>
      <c r="M22" s="602" t="s">
        <v>332</v>
      </c>
      <c r="P22" s="640"/>
      <c r="Q22" s="507"/>
      <c r="R22" s="543"/>
    </row>
    <row r="23" spans="1:18">
      <c r="A23" s="543"/>
      <c r="B23" s="499"/>
      <c r="C23" s="146"/>
      <c r="D23" s="976"/>
      <c r="E23" s="977"/>
      <c r="F23" s="646"/>
      <c r="G23" s="646"/>
      <c r="H23" s="640"/>
      <c r="I23" s="628"/>
      <c r="J23" s="816"/>
      <c r="O23" s="641"/>
      <c r="P23" s="640"/>
      <c r="Q23" s="507"/>
      <c r="R23" s="543"/>
    </row>
    <row r="24" spans="1:18">
      <c r="A24" s="543"/>
      <c r="B24" s="499"/>
      <c r="C24" s="500"/>
      <c r="D24" s="640"/>
      <c r="E24" s="640"/>
      <c r="F24" s="640"/>
      <c r="G24" s="640"/>
      <c r="H24" s="651"/>
      <c r="I24" s="652"/>
      <c r="J24" s="815"/>
      <c r="K24" s="640"/>
      <c r="L24" s="640"/>
      <c r="M24" s="640"/>
      <c r="N24" s="640"/>
      <c r="O24" s="640"/>
      <c r="P24" s="640"/>
      <c r="Q24" s="507"/>
      <c r="R24" s="543"/>
    </row>
    <row r="25" spans="1:18">
      <c r="A25" s="543"/>
      <c r="B25" s="499"/>
      <c r="C25" s="507"/>
      <c r="D25" s="628"/>
      <c r="E25" s="628"/>
      <c r="F25" s="628"/>
      <c r="G25" s="628"/>
      <c r="H25" s="652"/>
      <c r="I25" s="652"/>
      <c r="J25" s="102"/>
      <c r="K25" s="628"/>
      <c r="L25" s="628"/>
      <c r="M25" s="628"/>
      <c r="N25" s="628"/>
      <c r="O25" s="628"/>
      <c r="P25" s="628"/>
      <c r="Q25" s="507"/>
      <c r="R25" s="543"/>
    </row>
    <row r="26" spans="1:18">
      <c r="A26" s="543"/>
      <c r="B26" s="499"/>
      <c r="C26" s="811" t="s">
        <v>1696</v>
      </c>
      <c r="D26" s="147"/>
      <c r="E26" s="147"/>
      <c r="F26" s="147"/>
      <c r="G26" s="147"/>
      <c r="H26" s="651"/>
      <c r="I26" s="653"/>
      <c r="J26" s="821" t="s">
        <v>1700</v>
      </c>
      <c r="K26" s="193"/>
      <c r="L26" s="193"/>
      <c r="M26" s="193"/>
      <c r="N26" s="193"/>
      <c r="O26" s="193"/>
      <c r="P26" s="193"/>
      <c r="Q26" s="8"/>
      <c r="R26" s="543"/>
    </row>
    <row r="27" spans="1:18" ht="24.5" thickBot="1">
      <c r="A27" s="543"/>
      <c r="B27" s="499"/>
      <c r="C27" s="825"/>
      <c r="D27" s="628"/>
      <c r="E27" s="628"/>
      <c r="F27" s="692" t="s">
        <v>1713</v>
      </c>
      <c r="G27" s="628"/>
      <c r="H27" s="147"/>
      <c r="I27" s="628"/>
      <c r="J27" s="822"/>
      <c r="K27" s="6"/>
      <c r="L27" s="6"/>
      <c r="M27" s="6"/>
      <c r="N27" s="6"/>
      <c r="O27" s="6"/>
      <c r="P27" s="192"/>
      <c r="Q27" s="6"/>
      <c r="R27" s="543"/>
    </row>
    <row r="28" spans="1:18" ht="40" customHeight="1" thickBot="1">
      <c r="A28" s="543"/>
      <c r="B28" s="499"/>
      <c r="C28" s="825"/>
      <c r="D28" s="721" t="s">
        <v>1926</v>
      </c>
      <c r="E28" s="722">
        <f>IFERROR(SUM(E37,E35,E33),0)</f>
        <v>61566.498095999996</v>
      </c>
      <c r="F28" s="723">
        <f>IFERROR(SUM(F37,F35,F33),0)</f>
        <v>68917.889516879368</v>
      </c>
      <c r="G28" s="654"/>
      <c r="H28" s="147"/>
      <c r="I28" s="628"/>
      <c r="J28" s="822"/>
      <c r="L28" s="717" t="s">
        <v>1716</v>
      </c>
      <c r="M28" s="773">
        <v>195</v>
      </c>
      <c r="N28" s="720" t="s">
        <v>1781</v>
      </c>
      <c r="O28" s="751" t="s">
        <v>1715</v>
      </c>
      <c r="P28" s="192"/>
      <c r="Q28" s="6"/>
      <c r="R28" s="543"/>
    </row>
    <row r="29" spans="1:18">
      <c r="A29" s="543"/>
      <c r="B29" s="499"/>
      <c r="C29" s="825"/>
      <c r="D29" s="8"/>
      <c r="E29" s="658"/>
      <c r="F29" s="658"/>
      <c r="G29" s="657"/>
      <c r="H29" s="147"/>
      <c r="I29" s="628"/>
      <c r="J29" s="822"/>
      <c r="L29" s="631"/>
      <c r="M29" s="9"/>
      <c r="N29" s="688"/>
      <c r="O29" s="655"/>
      <c r="P29" s="192"/>
      <c r="Q29" s="6"/>
      <c r="R29" s="543"/>
    </row>
    <row r="30" spans="1:18" ht="40" customHeight="1" thickBot="1">
      <c r="A30" s="543"/>
      <c r="B30" s="499"/>
      <c r="C30" s="825"/>
      <c r="D30" s="638" t="s">
        <v>1699</v>
      </c>
      <c r="E30" s="660">
        <f>IFERROR(E28/Nutzung!C8,0)</f>
        <v>6156.6498095999996</v>
      </c>
      <c r="F30" s="656">
        <f>IFERROR(F28/Nutzung!C8,0)</f>
        <v>6891.7889516879368</v>
      </c>
      <c r="G30" s="659"/>
      <c r="H30" s="147"/>
      <c r="I30" s="628"/>
      <c r="J30" s="822"/>
      <c r="K30" s="6"/>
      <c r="L30" s="655" t="s">
        <v>333</v>
      </c>
      <c r="M30" s="688" t="s">
        <v>334</v>
      </c>
      <c r="N30" s="725" t="s">
        <v>1711</v>
      </c>
      <c r="O30" s="632"/>
      <c r="P30" s="192"/>
      <c r="Q30" s="6"/>
      <c r="R30" s="543"/>
    </row>
    <row r="31" spans="1:18" ht="19" thickBot="1">
      <c r="A31" s="543"/>
      <c r="B31" s="499"/>
      <c r="C31" s="825"/>
      <c r="D31" s="631"/>
      <c r="E31" s="686"/>
      <c r="F31" s="687"/>
      <c r="G31" s="659"/>
      <c r="H31" s="147"/>
      <c r="I31" s="628"/>
      <c r="J31" s="822"/>
      <c r="K31" s="662" t="s">
        <v>336</v>
      </c>
      <c r="L31" s="677" t="s">
        <v>337</v>
      </c>
      <c r="M31" s="690">
        <f>SUM(M33:M35)</f>
        <v>160254.02077831997</v>
      </c>
      <c r="N31" s="724">
        <f>M31*($M$28/1000)</f>
        <v>31249.534051772396</v>
      </c>
      <c r="O31" s="683"/>
      <c r="P31" s="192"/>
      <c r="Q31" s="6"/>
      <c r="R31" s="543"/>
    </row>
    <row r="32" spans="1:18" ht="24.5">
      <c r="A32" s="543"/>
      <c r="B32" s="499"/>
      <c r="C32" s="825"/>
      <c r="D32" s="750" t="s">
        <v>1925</v>
      </c>
      <c r="E32" s="699"/>
      <c r="F32" s="700" t="s">
        <v>1713</v>
      </c>
      <c r="G32" s="661"/>
      <c r="H32" s="147"/>
      <c r="I32" s="628"/>
      <c r="J32" s="822"/>
      <c r="K32" s="678" t="s">
        <v>338</v>
      </c>
      <c r="L32" s="679" t="s">
        <v>339</v>
      </c>
      <c r="M32" s="689">
        <f>IFERROR(M31/E11,0)</f>
        <v>16025.402077831997</v>
      </c>
      <c r="N32" s="680">
        <f>M32*($M$28/1000)</f>
        <v>3124.9534051772398</v>
      </c>
      <c r="O32" s="683"/>
      <c r="P32" s="192"/>
      <c r="Q32" s="6"/>
      <c r="R32" s="543"/>
    </row>
    <row r="33" spans="1:18">
      <c r="A33" s="543"/>
      <c r="B33" s="499"/>
      <c r="C33" s="825"/>
      <c r="D33" s="631" t="s">
        <v>1702</v>
      </c>
      <c r="E33" s="660">
        <f>IFERROR('Laufende Kosten'!H11*E12,0)</f>
        <v>10356.498096000003</v>
      </c>
      <c r="F33" s="644">
        <f>IFERROR(Investitionsrechnung!D14*E12,0)</f>
        <v>11593.12310485745</v>
      </c>
      <c r="G33" s="664"/>
      <c r="H33" s="147"/>
      <c r="I33" s="628"/>
      <c r="J33" s="822"/>
      <c r="K33" s="6">
        <v>1</v>
      </c>
      <c r="L33" s="6" t="s">
        <v>340</v>
      </c>
      <c r="M33" s="681">
        <f>M38</f>
        <v>143353.99399999998</v>
      </c>
      <c r="N33" s="674">
        <f>M33*($M$28/1000)</f>
        <v>27954.028829999996</v>
      </c>
      <c r="O33" s="684"/>
      <c r="P33" s="192"/>
      <c r="Q33" s="6"/>
      <c r="R33" s="543"/>
    </row>
    <row r="34" spans="1:18">
      <c r="A34" s="543"/>
      <c r="B34" s="499"/>
      <c r="C34" s="825"/>
      <c r="D34" s="650"/>
      <c r="E34" s="646"/>
      <c r="F34" s="645"/>
      <c r="G34" s="666"/>
      <c r="H34" s="147"/>
      <c r="I34" s="628"/>
      <c r="J34" s="822"/>
      <c r="K34" s="6">
        <v>2</v>
      </c>
      <c r="L34" s="6" t="s">
        <v>342</v>
      </c>
      <c r="M34" s="681">
        <f>(M40+M41)</f>
        <v>0</v>
      </c>
      <c r="N34" s="675">
        <f>M34*($M$28/1000)</f>
        <v>0</v>
      </c>
      <c r="O34" s="676"/>
      <c r="P34" s="192"/>
      <c r="Q34" s="6"/>
      <c r="R34" s="543"/>
    </row>
    <row r="35" spans="1:18">
      <c r="A35" s="543"/>
      <c r="B35" s="499"/>
      <c r="C35" s="825"/>
      <c r="D35" s="669" t="s">
        <v>341</v>
      </c>
      <c r="E35" s="660">
        <f>IFERROR(E12*'Laufende Kosten'!H47,0)</f>
        <v>0</v>
      </c>
      <c r="F35" s="667">
        <f>IFERROR(Investitionsrechnung!D15*E12,0)</f>
        <v>0</v>
      </c>
      <c r="G35" s="661"/>
      <c r="H35" s="147"/>
      <c r="I35" s="628"/>
      <c r="J35" s="822"/>
      <c r="K35" s="6">
        <v>3</v>
      </c>
      <c r="L35" s="6" t="s">
        <v>343</v>
      </c>
      <c r="M35" s="681">
        <f>(M42+M43)</f>
        <v>16900.02677832</v>
      </c>
      <c r="N35" s="675">
        <f>M35*($M$28/1000)</f>
        <v>3295.5052217724001</v>
      </c>
      <c r="O35" s="676"/>
      <c r="P35" s="192"/>
      <c r="Q35" s="6"/>
      <c r="R35" s="543"/>
    </row>
    <row r="36" spans="1:18">
      <c r="A36" s="543"/>
      <c r="B36" s="499"/>
      <c r="C36" s="825"/>
      <c r="D36" s="629"/>
      <c r="E36" s="646"/>
      <c r="F36" s="668"/>
      <c r="G36" s="649"/>
      <c r="H36" s="147"/>
      <c r="I36" s="628"/>
      <c r="J36" s="822"/>
      <c r="K36" s="6"/>
      <c r="L36" s="6"/>
      <c r="M36" s="670"/>
      <c r="N36" s="6"/>
      <c r="O36" s="6"/>
      <c r="P36" s="192"/>
      <c r="Q36" s="6"/>
      <c r="R36" s="543"/>
    </row>
    <row r="37" spans="1:18">
      <c r="A37" s="543"/>
      <c r="B37" s="499"/>
      <c r="C37" s="825"/>
      <c r="D37" s="669" t="s">
        <v>335</v>
      </c>
      <c r="E37" s="660">
        <f>IFERROR(E12*'Laufende Kosten'!H62,0)</f>
        <v>51209.999999999993</v>
      </c>
      <c r="F37" s="644">
        <f>IFERROR(Investitionsrechnung!D16*E12,0)</f>
        <v>57324.766412021912</v>
      </c>
      <c r="G37" s="657"/>
      <c r="H37" s="147"/>
      <c r="I37" s="628"/>
      <c r="J37" s="822"/>
      <c r="K37" s="6"/>
      <c r="L37" s="643" t="s">
        <v>1703</v>
      </c>
      <c r="M37" s="753" t="s">
        <v>334</v>
      </c>
      <c r="N37" s="6"/>
      <c r="O37" s="6"/>
      <c r="P37" s="192"/>
      <c r="Q37" s="6"/>
      <c r="R37" s="543"/>
    </row>
    <row r="38" spans="1:18">
      <c r="A38" s="543"/>
      <c r="B38" s="499"/>
      <c r="C38" s="825"/>
      <c r="H38" s="147"/>
      <c r="I38" s="628"/>
      <c r="J38" s="822"/>
      <c r="K38" s="662" t="s">
        <v>344</v>
      </c>
      <c r="L38" s="6" t="s">
        <v>1773</v>
      </c>
      <c r="M38" s="681">
        <f>Produktion!C8*E12</f>
        <v>143353.99399999998</v>
      </c>
      <c r="N38" s="6"/>
      <c r="O38" s="6"/>
      <c r="P38" s="192"/>
      <c r="Q38" s="6"/>
      <c r="R38" s="543"/>
    </row>
    <row r="39" spans="1:18">
      <c r="A39" s="543"/>
      <c r="B39" s="499"/>
      <c r="C39" s="825"/>
      <c r="G39" s="641"/>
      <c r="H39" s="147"/>
      <c r="I39" s="628"/>
      <c r="J39" s="822"/>
      <c r="K39" s="665" t="s">
        <v>345</v>
      </c>
      <c r="L39" s="38" t="s">
        <v>1774</v>
      </c>
      <c r="M39" s="682">
        <f>Produktion!D8*E12</f>
        <v>0</v>
      </c>
      <c r="N39" s="6"/>
      <c r="O39" s="6"/>
      <c r="P39" s="192"/>
      <c r="Q39" s="6"/>
      <c r="R39" s="543"/>
    </row>
    <row r="40" spans="1:18">
      <c r="A40" s="543"/>
      <c r="B40" s="499"/>
      <c r="C40" s="825"/>
      <c r="D40" s="641"/>
      <c r="E40" s="641"/>
      <c r="F40" s="641"/>
      <c r="G40" s="641"/>
      <c r="H40" s="147"/>
      <c r="I40" s="628"/>
      <c r="J40" s="822"/>
      <c r="K40" s="662" t="s">
        <v>347</v>
      </c>
      <c r="L40" s="6" t="s">
        <v>1779</v>
      </c>
      <c r="M40" s="681">
        <f>SUM('Transport + Installation'!P14:P20)*E12</f>
        <v>0</v>
      </c>
      <c r="N40" s="6"/>
      <c r="O40" s="6"/>
      <c r="P40" s="192"/>
      <c r="Q40" s="6"/>
      <c r="R40" s="543"/>
    </row>
    <row r="41" spans="1:18">
      <c r="A41" s="543"/>
      <c r="B41" s="499"/>
      <c r="C41" s="825"/>
      <c r="D41" s="641"/>
      <c r="E41" s="641"/>
      <c r="F41" s="641"/>
      <c r="G41" s="641"/>
      <c r="H41" s="147"/>
      <c r="I41" s="628"/>
      <c r="J41" s="822"/>
      <c r="K41" s="665" t="s">
        <v>348</v>
      </c>
      <c r="L41" s="38" t="s">
        <v>1778</v>
      </c>
      <c r="M41" s="682">
        <f>SUM('Transport + Installation'!P24:P30)*E12</f>
        <v>0</v>
      </c>
      <c r="N41" s="6"/>
      <c r="O41" s="6"/>
      <c r="P41" s="192"/>
      <c r="Q41" s="6"/>
      <c r="R41" s="543"/>
    </row>
    <row r="42" spans="1:18">
      <c r="A42" s="543"/>
      <c r="B42" s="499"/>
      <c r="C42" s="825"/>
      <c r="D42" s="641"/>
      <c r="E42" s="641"/>
      <c r="F42" s="641"/>
      <c r="G42" s="641"/>
      <c r="H42" s="147"/>
      <c r="I42" s="628"/>
      <c r="J42" s="822"/>
      <c r="K42" s="662" t="s">
        <v>349</v>
      </c>
      <c r="L42" s="6" t="s">
        <v>350</v>
      </c>
      <c r="M42" s="681">
        <f>SUM(Nutzung!I25:I32)*E12</f>
        <v>0</v>
      </c>
      <c r="N42" s="6"/>
      <c r="O42" s="6"/>
      <c r="P42" s="192"/>
      <c r="Q42" s="6"/>
      <c r="R42" s="543"/>
    </row>
    <row r="43" spans="1:18">
      <c r="A43" s="543"/>
      <c r="B43" s="499"/>
      <c r="C43" s="825"/>
      <c r="D43" s="641"/>
      <c r="E43" s="641"/>
      <c r="F43" s="641"/>
      <c r="G43" s="641"/>
      <c r="H43" s="147"/>
      <c r="I43" s="628"/>
      <c r="J43" s="822"/>
      <c r="K43" s="662" t="s">
        <v>351</v>
      </c>
      <c r="L43" s="6" t="s">
        <v>1780</v>
      </c>
      <c r="M43" s="681">
        <f>SUM(Nutzung!I18:I20)*E12</f>
        <v>16900.02677832</v>
      </c>
      <c r="N43" s="6"/>
      <c r="O43" s="6"/>
      <c r="P43" s="192"/>
      <c r="Q43" s="6"/>
      <c r="R43" s="543"/>
    </row>
    <row r="44" spans="1:18">
      <c r="A44" s="543"/>
      <c r="B44" s="499"/>
      <c r="C44" s="826"/>
      <c r="D44" s="6"/>
      <c r="E44" s="6"/>
      <c r="F44" s="6"/>
      <c r="G44" s="6"/>
      <c r="H44" s="640"/>
      <c r="I44" s="628"/>
      <c r="J44" s="823"/>
      <c r="K44" s="662"/>
      <c r="L44" s="6"/>
      <c r="M44" s="663"/>
      <c r="N44" s="6"/>
      <c r="O44" s="6"/>
      <c r="P44" s="671"/>
      <c r="Q44" s="499"/>
      <c r="R44" s="543"/>
    </row>
    <row r="45" spans="1:18">
      <c r="A45" s="543"/>
      <c r="B45" s="499"/>
      <c r="C45" s="826"/>
      <c r="D45" s="147"/>
      <c r="E45" s="147"/>
      <c r="F45" s="147"/>
      <c r="G45" s="147"/>
      <c r="H45" s="500"/>
      <c r="I45" s="507"/>
      <c r="J45" s="824"/>
      <c r="K45" s="193"/>
      <c r="L45" s="193"/>
      <c r="M45" s="193"/>
      <c r="N45" s="193"/>
      <c r="O45" s="193"/>
      <c r="P45" s="544"/>
      <c r="Q45" s="499"/>
      <c r="R45" s="543"/>
    </row>
    <row r="46" spans="1:18">
      <c r="A46" s="543"/>
      <c r="B46" s="499"/>
      <c r="C46" s="499"/>
      <c r="D46" s="499"/>
      <c r="E46" s="499"/>
      <c r="F46" s="499"/>
      <c r="G46" s="499"/>
      <c r="H46" s="499"/>
      <c r="I46" s="499"/>
      <c r="J46" s="499"/>
      <c r="K46" s="499"/>
      <c r="L46" s="499"/>
      <c r="M46" s="499"/>
      <c r="N46" s="499"/>
      <c r="O46" s="499"/>
      <c r="P46" s="499"/>
      <c r="Q46" s="499"/>
      <c r="R46" s="543"/>
    </row>
    <row r="47" spans="1:18" ht="14.5" customHeight="1">
      <c r="A47" s="543"/>
      <c r="B47" s="543"/>
      <c r="C47" s="543"/>
      <c r="D47" s="543"/>
      <c r="E47" s="543"/>
      <c r="F47" s="543"/>
      <c r="G47" s="543"/>
      <c r="H47" s="543"/>
      <c r="I47" s="543"/>
      <c r="J47" s="543"/>
      <c r="K47" s="543"/>
      <c r="L47" s="543"/>
      <c r="M47" s="543"/>
      <c r="N47" s="543"/>
      <c r="O47" s="543"/>
      <c r="P47" s="543"/>
      <c r="Q47" s="543"/>
      <c r="R47" s="543"/>
    </row>
  </sheetData>
  <hyperlinks>
    <hyperlink ref="F3" location="'Aufbau LCC-CO2-Tool'!A1" display="zurück zur Übersicht" xr:uid="{81C473DF-DE53-43A8-871B-55ED17CD6DE7}"/>
    <hyperlink ref="F4" location="'Anleitung für Beschaffende'!A19" display="zurück zur Anleitung für Beschaffende " xr:uid="{B640C071-9EA4-4C05-8BC5-0DDAF5386E12}"/>
    <hyperlink ref="F5" location="'Anleitung für Bietende'!A17" display="zurück zur Anleitung für Bietende" xr:uid="{1B3466D2-B7A0-443C-9476-9EC583761708}"/>
  </hyperlinks>
  <pageMargins left="0.70866141732283472" right="0.70866141732283472" top="0.74803149606299213" bottom="0.74803149606299213" header="0.31496062992125984" footer="0.31496062992125984"/>
  <pageSetup paperSize="9" scale="52" orientation="landscape" horizontalDpi="1200" verticalDpi="1200" r:id="rId1"/>
  <headerFooter>
    <oddHeader>&amp;C&amp;14&amp;KFF0000TESTVERSION!</oddHeader>
    <oddFooter>&amp;L&amp;8LCC-CO2-Tool - Arbeitshilfe des Umweltbundesamtes&amp;C&amp;8Ergebnis LCC-CO2-Kosten&amp;R&amp;8&amp;P</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rgb="FFBCE4A7"/>
    <pageSetUpPr fitToPage="1"/>
  </sheetPr>
  <dimension ref="A1:N127"/>
  <sheetViews>
    <sheetView showGridLines="0" topLeftCell="C1" zoomScale="70" zoomScaleNormal="70" workbookViewId="0">
      <selection activeCell="F8" sqref="F8"/>
    </sheetView>
  </sheetViews>
  <sheetFormatPr baseColWidth="10" defaultColWidth="11.08203125" defaultRowHeight="14.5"/>
  <cols>
    <col min="1" max="1" width="2.08203125" style="55" customWidth="1"/>
    <col min="2" max="2" width="3.58203125" style="62" customWidth="1"/>
    <col min="3" max="3" width="2.58203125" style="55" customWidth="1"/>
    <col min="4" max="4" width="17.08203125" style="55" customWidth="1"/>
    <col min="5" max="5" width="31.58203125" style="55" customWidth="1"/>
    <col min="6" max="6" width="49.58203125" style="58" customWidth="1"/>
    <col min="7" max="7" width="13.1640625" style="55" customWidth="1"/>
    <col min="8" max="8" width="11.08203125" style="55"/>
    <col min="9" max="9" width="14.83203125" style="55" customWidth="1"/>
    <col min="10" max="10" width="67.58203125" style="58" customWidth="1"/>
    <col min="11" max="11" width="3.58203125" style="58" customWidth="1"/>
    <col min="12" max="12" width="2.08203125" style="55" customWidth="1"/>
    <col min="13" max="17" width="11.08203125" style="55"/>
    <col min="18" max="18" width="36.58203125" style="55" customWidth="1"/>
    <col min="19" max="16384" width="11.08203125" style="55"/>
  </cols>
  <sheetData>
    <row r="1" spans="1:12">
      <c r="A1" s="511"/>
      <c r="B1" s="229"/>
      <c r="C1" s="511"/>
      <c r="D1" s="511"/>
      <c r="E1" s="511"/>
      <c r="F1" s="512"/>
      <c r="G1" s="511"/>
      <c r="H1" s="511"/>
      <c r="I1" s="511"/>
      <c r="J1" s="512"/>
      <c r="K1" s="512"/>
      <c r="L1" s="511"/>
    </row>
    <row r="2" spans="1:12" ht="33.5">
      <c r="A2" s="511"/>
      <c r="B2" s="230"/>
      <c r="C2" s="68" t="s">
        <v>296</v>
      </c>
      <c r="D2" s="358"/>
      <c r="E2" s="90"/>
      <c r="F2" s="404"/>
      <c r="G2" s="68"/>
      <c r="H2" s="68"/>
      <c r="I2" s="68"/>
      <c r="J2" s="318"/>
      <c r="K2" s="56"/>
      <c r="L2" s="511"/>
    </row>
    <row r="3" spans="1:12" ht="33.5">
      <c r="A3" s="511"/>
      <c r="B3" s="231"/>
      <c r="C3" s="369"/>
      <c r="D3" s="358" t="s">
        <v>92</v>
      </c>
      <c r="E3" s="358"/>
      <c r="F3" s="224" t="s">
        <v>297</v>
      </c>
      <c r="G3" s="225">
        <f>1/8*B13+1/8*B18+1/8*B50+1/8*B58+1/8*B75+1/8*B97+1/8*B107 +1/8*B42</f>
        <v>0.375</v>
      </c>
      <c r="H3" s="56"/>
      <c r="I3" s="996" t="s">
        <v>1886</v>
      </c>
      <c r="J3" s="57"/>
      <c r="K3" s="57"/>
      <c r="L3" s="511"/>
    </row>
    <row r="4" spans="1:12">
      <c r="A4" s="511"/>
      <c r="C4" s="358"/>
      <c r="D4" s="370" t="s">
        <v>120</v>
      </c>
      <c r="E4" s="370"/>
      <c r="F4" s="404"/>
      <c r="G4" s="358"/>
      <c r="H4" s="358"/>
      <c r="I4" s="996" t="s">
        <v>1887</v>
      </c>
      <c r="J4" s="404"/>
      <c r="K4" s="404"/>
      <c r="L4" s="511"/>
    </row>
    <row r="5" spans="1:12">
      <c r="A5" s="511"/>
      <c r="C5" s="358"/>
      <c r="D5" s="403" t="s">
        <v>44</v>
      </c>
      <c r="E5" s="403"/>
      <c r="F5" s="404"/>
      <c r="G5" s="358"/>
      <c r="H5" s="358"/>
      <c r="I5" s="996" t="s">
        <v>1888</v>
      </c>
      <c r="J5" s="404"/>
      <c r="K5" s="404"/>
      <c r="L5" s="511"/>
    </row>
    <row r="6" spans="1:12">
      <c r="A6" s="511"/>
      <c r="C6" s="358"/>
      <c r="D6" s="358"/>
      <c r="E6" s="358"/>
      <c r="F6" s="404"/>
      <c r="G6" s="358"/>
      <c r="H6" s="358"/>
      <c r="I6" s="358"/>
      <c r="J6" s="404"/>
      <c r="K6" s="404"/>
      <c r="L6" s="511"/>
    </row>
    <row r="7" spans="1:12">
      <c r="A7" s="511"/>
      <c r="C7" s="358"/>
      <c r="D7" s="358"/>
      <c r="E7" s="474" t="s">
        <v>235</v>
      </c>
      <c r="F7" s="1022" t="s">
        <v>1938</v>
      </c>
      <c r="G7" s="65" t="s">
        <v>1313</v>
      </c>
      <c r="H7" s="358"/>
      <c r="I7" s="358"/>
      <c r="J7" s="404"/>
      <c r="K7" s="88"/>
      <c r="L7" s="511"/>
    </row>
    <row r="8" spans="1:12">
      <c r="A8" s="511"/>
      <c r="C8" s="358"/>
      <c r="D8" s="358"/>
      <c r="E8" s="474" t="s">
        <v>236</v>
      </c>
      <c r="F8" s="515">
        <v>100</v>
      </c>
      <c r="G8" s="65" t="s">
        <v>237</v>
      </c>
      <c r="H8" s="358"/>
      <c r="I8" s="358"/>
      <c r="J8" s="404"/>
      <c r="K8" s="88"/>
      <c r="L8" s="511"/>
    </row>
    <row r="9" spans="1:12">
      <c r="A9" s="511"/>
      <c r="C9" s="358"/>
      <c r="D9" s="358"/>
      <c r="E9" s="358"/>
      <c r="F9" s="404"/>
      <c r="G9" s="358"/>
      <c r="H9" s="358"/>
      <c r="I9" s="358"/>
      <c r="J9" s="404"/>
      <c r="K9" s="404"/>
      <c r="L9" s="511"/>
    </row>
    <row r="10" spans="1:12" ht="21.5" thickBot="1">
      <c r="A10" s="511"/>
      <c r="C10" s="296" t="s">
        <v>238</v>
      </c>
      <c r="D10" s="72"/>
      <c r="E10" s="358"/>
      <c r="F10" s="404"/>
      <c r="G10" s="358"/>
      <c r="H10" s="358"/>
      <c r="I10" s="358"/>
      <c r="J10" s="404"/>
      <c r="K10" s="404"/>
      <c r="L10" s="511"/>
    </row>
    <row r="11" spans="1:12" ht="19" thickTop="1">
      <c r="A11" s="511"/>
      <c r="C11" s="530"/>
      <c r="D11" s="393"/>
      <c r="E11" s="393"/>
      <c r="F11" s="393"/>
      <c r="G11" s="393"/>
      <c r="H11" s="393"/>
      <c r="I11" s="393"/>
      <c r="J11" s="320" t="s">
        <v>239</v>
      </c>
      <c r="K11" s="91"/>
      <c r="L11" s="511"/>
    </row>
    <row r="12" spans="1:12">
      <c r="A12" s="511"/>
      <c r="C12" s="531"/>
      <c r="D12" s="358"/>
      <c r="E12" s="358"/>
      <c r="F12" s="404"/>
      <c r="G12" s="65"/>
      <c r="H12" s="65"/>
      <c r="I12" s="65"/>
      <c r="J12" s="319"/>
      <c r="K12" s="91"/>
      <c r="L12" s="511"/>
    </row>
    <row r="13" spans="1:12" ht="29">
      <c r="A13" s="511"/>
      <c r="B13" s="62">
        <f>IF(AND(F13&lt;&gt;"",F15&lt;&gt;""),1,0)</f>
        <v>0</v>
      </c>
      <c r="C13" s="531"/>
      <c r="D13" s="358"/>
      <c r="E13" s="532" t="s">
        <v>298</v>
      </c>
      <c r="F13" s="517"/>
      <c r="G13" s="358" t="s">
        <v>299</v>
      </c>
      <c r="H13" s="84"/>
      <c r="I13" s="84"/>
      <c r="J13" s="118" t="s">
        <v>300</v>
      </c>
      <c r="K13" s="88"/>
      <c r="L13" s="511"/>
    </row>
    <row r="14" spans="1:12">
      <c r="A14" s="511"/>
      <c r="C14" s="531"/>
      <c r="D14" s="358"/>
      <c r="E14" s="532"/>
      <c r="F14" s="404"/>
      <c r="G14" s="85"/>
      <c r="H14" s="85"/>
      <c r="I14" s="85"/>
      <c r="J14" s="251"/>
      <c r="K14" s="84"/>
      <c r="L14" s="511"/>
    </row>
    <row r="15" spans="1:12" ht="46.5">
      <c r="A15" s="511"/>
      <c r="C15" s="531"/>
      <c r="D15" s="358"/>
      <c r="E15" s="532" t="s">
        <v>301</v>
      </c>
      <c r="F15" s="960"/>
      <c r="G15" s="358" t="s">
        <v>302</v>
      </c>
      <c r="H15" s="85"/>
      <c r="I15" s="85"/>
      <c r="J15" s="118" t="s">
        <v>303</v>
      </c>
      <c r="K15" s="88"/>
      <c r="L15" s="511"/>
    </row>
    <row r="16" spans="1:12" ht="15" thickBot="1">
      <c r="A16" s="511"/>
      <c r="C16" s="531"/>
      <c r="D16" s="519"/>
      <c r="E16" s="519"/>
      <c r="F16" s="520"/>
      <c r="G16" s="87"/>
      <c r="H16" s="87"/>
      <c r="I16" s="87"/>
      <c r="J16" s="252" t="s">
        <v>304</v>
      </c>
      <c r="K16" s="84"/>
      <c r="L16" s="511"/>
    </row>
    <row r="17" spans="1:12" ht="15" thickTop="1">
      <c r="A17" s="511"/>
      <c r="C17" s="531"/>
      <c r="D17" s="358"/>
      <c r="E17" s="358"/>
      <c r="F17" s="404"/>
      <c r="G17" s="85"/>
      <c r="H17" s="85"/>
      <c r="I17" s="85"/>
      <c r="J17" s="118"/>
      <c r="K17" s="84"/>
      <c r="L17" s="511"/>
    </row>
    <row r="18" spans="1:12">
      <c r="A18" s="511"/>
      <c r="B18" s="62">
        <f>IF(AND(E21&lt;&gt;"[Bitte auswählen]",F21&lt;&gt;"",G21&lt;&gt;""),1,0)</f>
        <v>1</v>
      </c>
      <c r="C18" s="531"/>
      <c r="D18" s="72" t="s">
        <v>305</v>
      </c>
      <c r="E18" s="404"/>
      <c r="F18" s="404"/>
      <c r="G18" s="404"/>
      <c r="H18" s="404"/>
      <c r="I18" s="404"/>
      <c r="J18" s="118"/>
      <c r="K18" s="88"/>
      <c r="L18" s="511"/>
    </row>
    <row r="19" spans="1:12" ht="58">
      <c r="A19" s="511"/>
      <c r="C19" s="531"/>
      <c r="D19" s="533"/>
      <c r="E19" s="533"/>
      <c r="F19" s="533"/>
      <c r="G19" s="533"/>
      <c r="H19" s="533"/>
      <c r="I19" s="533"/>
      <c r="J19" s="249" t="s">
        <v>1831</v>
      </c>
      <c r="K19" s="88"/>
      <c r="L19" s="511"/>
    </row>
    <row r="20" spans="1:12">
      <c r="A20" s="511"/>
      <c r="C20" s="531"/>
      <c r="D20" s="358"/>
      <c r="E20" s="72" t="s">
        <v>1672</v>
      </c>
      <c r="F20" s="321" t="s">
        <v>1797</v>
      </c>
      <c r="G20" s="72" t="s">
        <v>227</v>
      </c>
      <c r="H20" s="72" t="s">
        <v>306</v>
      </c>
      <c r="I20" s="85"/>
      <c r="J20" s="404"/>
      <c r="K20" s="84"/>
      <c r="L20" s="511"/>
    </row>
    <row r="21" spans="1:12" ht="14.5" customHeight="1">
      <c r="A21" s="511"/>
      <c r="C21" s="531"/>
      <c r="D21" s="358" t="s">
        <v>307</v>
      </c>
      <c r="E21" s="517" t="s">
        <v>1492</v>
      </c>
      <c r="F21" s="1021" t="s">
        <v>1936</v>
      </c>
      <c r="G21" s="853">
        <v>3.33</v>
      </c>
      <c r="H21" s="859" t="str">
        <f>IFERROR(VLOOKUP(E21,Emissionsfaktoren_Stoffe!$C$4:$L$517,10,FALSE),"")</f>
        <v>Stück</v>
      </c>
      <c r="I21" s="85"/>
      <c r="J21" s="251" t="s">
        <v>1832</v>
      </c>
      <c r="K21" s="88"/>
      <c r="L21" s="511"/>
    </row>
    <row r="22" spans="1:12">
      <c r="A22" s="511"/>
      <c r="C22" s="531"/>
      <c r="D22" s="358"/>
      <c r="E22" s="404"/>
      <c r="F22" s="404"/>
      <c r="G22" s="703"/>
      <c r="H22" s="703"/>
      <c r="I22" s="85"/>
      <c r="J22" s="837" t="s">
        <v>1833</v>
      </c>
      <c r="K22" s="88"/>
      <c r="L22" s="511"/>
    </row>
    <row r="23" spans="1:12">
      <c r="A23" s="511"/>
      <c r="C23" s="531"/>
      <c r="D23" s="358" t="s">
        <v>308</v>
      </c>
      <c r="E23" s="517" t="s">
        <v>1554</v>
      </c>
      <c r="F23" s="1021" t="s">
        <v>1937</v>
      </c>
      <c r="G23" s="853">
        <v>1.67</v>
      </c>
      <c r="H23" s="859" t="str">
        <f>IFERROR(VLOOKUP(E23,Emissionsfaktoren_Stoffe!$C$4:$L$517,10,FALSE),"")</f>
        <v>Stück</v>
      </c>
      <c r="I23" s="85"/>
      <c r="J23" s="837" t="s">
        <v>1834</v>
      </c>
      <c r="K23" s="88"/>
      <c r="L23" s="511"/>
    </row>
    <row r="24" spans="1:12">
      <c r="A24" s="511"/>
      <c r="C24" s="531"/>
      <c r="D24" s="358"/>
      <c r="E24" s="404"/>
      <c r="F24" s="404"/>
      <c r="G24" s="703"/>
      <c r="H24" s="703"/>
      <c r="I24" s="85"/>
      <c r="K24" s="88"/>
      <c r="L24" s="511"/>
    </row>
    <row r="25" spans="1:12">
      <c r="A25" s="511"/>
      <c r="C25" s="531"/>
      <c r="D25" s="358" t="s">
        <v>311</v>
      </c>
      <c r="E25" s="517" t="s">
        <v>1537</v>
      </c>
      <c r="F25" s="1021" t="s">
        <v>1937</v>
      </c>
      <c r="G25" s="853">
        <v>1.67</v>
      </c>
      <c r="H25" s="859" t="str">
        <f>IFERROR(VLOOKUP(E25,Emissionsfaktoren_Stoffe!$C$4:$L$517,10,FALSE),"")</f>
        <v>Stück</v>
      </c>
      <c r="I25" s="85"/>
      <c r="J25" s="249" t="s">
        <v>309</v>
      </c>
      <c r="K25" s="88"/>
      <c r="L25" s="511"/>
    </row>
    <row r="26" spans="1:12">
      <c r="A26" s="511"/>
      <c r="C26" s="531"/>
      <c r="D26" s="358"/>
      <c r="E26" s="404"/>
      <c r="F26" s="404"/>
      <c r="G26" s="703"/>
      <c r="H26" s="703"/>
      <c r="I26" s="85"/>
      <c r="J26" s="118" t="s">
        <v>310</v>
      </c>
      <c r="K26" s="88"/>
      <c r="L26" s="511"/>
    </row>
    <row r="27" spans="1:12">
      <c r="A27" s="511"/>
      <c r="C27" s="531"/>
      <c r="D27" s="358" t="s">
        <v>313</v>
      </c>
      <c r="E27" s="517" t="s">
        <v>1664</v>
      </c>
      <c r="F27" s="1021" t="s">
        <v>1937</v>
      </c>
      <c r="G27" s="853">
        <v>1.67</v>
      </c>
      <c r="H27" s="859" t="str">
        <f>IFERROR(VLOOKUP(E27,Emissionsfaktoren_Stoffe!$C$4:$L$517,10,FALSE),"")</f>
        <v>Stück</v>
      </c>
      <c r="I27" s="85"/>
      <c r="J27" s="118"/>
      <c r="K27" s="88"/>
      <c r="L27" s="511"/>
    </row>
    <row r="28" spans="1:12">
      <c r="A28" s="511"/>
      <c r="C28" s="531"/>
      <c r="D28" s="358"/>
      <c r="E28" s="404"/>
      <c r="F28" s="404"/>
      <c r="G28" s="703"/>
      <c r="H28" s="703"/>
      <c r="I28" s="85"/>
      <c r="J28" s="118" t="s">
        <v>312</v>
      </c>
      <c r="K28" s="88"/>
      <c r="L28" s="511"/>
    </row>
    <row r="29" spans="1:12">
      <c r="A29" s="511"/>
      <c r="C29" s="531"/>
      <c r="D29" s="358" t="s">
        <v>315</v>
      </c>
      <c r="E29" s="517" t="s">
        <v>1531</v>
      </c>
      <c r="F29" s="1021" t="s">
        <v>1937</v>
      </c>
      <c r="G29" s="853">
        <v>1.67</v>
      </c>
      <c r="H29" s="859" t="str">
        <f>IFERROR(VLOOKUP(E29,Emissionsfaktoren_Stoffe!$C$4:$L$517,10,FALSE),"")</f>
        <v>Stück</v>
      </c>
      <c r="I29" s="85"/>
      <c r="J29" s="404"/>
      <c r="K29" s="88"/>
      <c r="L29" s="511"/>
    </row>
    <row r="30" spans="1:12">
      <c r="A30" s="511"/>
      <c r="C30" s="531"/>
      <c r="D30" s="358"/>
      <c r="E30" s="404"/>
      <c r="F30" s="404"/>
      <c r="G30" s="703"/>
      <c r="H30" s="703"/>
      <c r="I30" s="85"/>
      <c r="J30" s="118" t="s">
        <v>314</v>
      </c>
      <c r="K30" s="88"/>
      <c r="L30" s="511"/>
    </row>
    <row r="31" spans="1:12">
      <c r="A31" s="511"/>
      <c r="C31" s="531"/>
      <c r="D31" s="358" t="s">
        <v>316</v>
      </c>
      <c r="E31" s="517" t="s">
        <v>128</v>
      </c>
      <c r="F31" s="534"/>
      <c r="G31" s="853"/>
      <c r="H31" s="859" t="str">
        <f>IFERROR(VLOOKUP(E31,Emissionsfaktoren_Stoffe!$C$4:$L$517,10,FALSE),"")</f>
        <v/>
      </c>
      <c r="I31" s="85"/>
      <c r="J31" s="404"/>
      <c r="K31" s="88"/>
      <c r="L31" s="511"/>
    </row>
    <row r="32" spans="1:12">
      <c r="A32" s="511"/>
      <c r="C32" s="531"/>
      <c r="D32" s="358"/>
      <c r="E32" s="404"/>
      <c r="F32" s="404"/>
      <c r="G32" s="703"/>
      <c r="H32" s="703"/>
      <c r="I32" s="85"/>
      <c r="J32" s="118"/>
      <c r="K32" s="88"/>
      <c r="L32" s="511"/>
    </row>
    <row r="33" spans="1:12">
      <c r="A33" s="511"/>
      <c r="C33" s="531"/>
      <c r="D33" s="358" t="s">
        <v>317</v>
      </c>
      <c r="E33" s="517" t="s">
        <v>128</v>
      </c>
      <c r="F33" s="534"/>
      <c r="G33" s="853"/>
      <c r="H33" s="859" t="str">
        <f>IFERROR(VLOOKUP(E33,Emissionsfaktoren_Stoffe!$C$4:$L$517,10,FALSE),"")</f>
        <v/>
      </c>
      <c r="I33" s="85"/>
      <c r="J33" s="118"/>
      <c r="K33" s="88"/>
      <c r="L33" s="511"/>
    </row>
    <row r="34" spans="1:12">
      <c r="A34" s="511"/>
      <c r="C34" s="531"/>
      <c r="D34" s="358"/>
      <c r="E34" s="404"/>
      <c r="F34" s="404"/>
      <c r="G34" s="703"/>
      <c r="H34" s="703"/>
      <c r="I34" s="85"/>
      <c r="J34" s="118"/>
      <c r="K34" s="88"/>
      <c r="L34" s="511"/>
    </row>
    <row r="35" spans="1:12">
      <c r="A35" s="511"/>
      <c r="C35" s="531"/>
      <c r="D35" s="358" t="s">
        <v>318</v>
      </c>
      <c r="E35" s="517" t="s">
        <v>128</v>
      </c>
      <c r="F35" s="534"/>
      <c r="G35" s="853"/>
      <c r="H35" s="859" t="str">
        <f>IFERROR(VLOOKUP(E35,Emissionsfaktoren_Stoffe!$C$4:$L$517,10,FALSE),"")</f>
        <v/>
      </c>
      <c r="I35" s="85"/>
      <c r="J35" s="118"/>
      <c r="K35" s="88"/>
      <c r="L35" s="511"/>
    </row>
    <row r="36" spans="1:12">
      <c r="A36" s="511"/>
      <c r="C36" s="531"/>
      <c r="D36" s="358"/>
      <c r="E36" s="404"/>
      <c r="F36" s="404"/>
      <c r="G36" s="703"/>
      <c r="H36" s="703"/>
      <c r="I36" s="85"/>
      <c r="J36" s="116"/>
      <c r="K36" s="88"/>
      <c r="L36" s="511"/>
    </row>
    <row r="37" spans="1:12">
      <c r="A37" s="511"/>
      <c r="C37" s="531"/>
      <c r="D37" s="358" t="s">
        <v>319</v>
      </c>
      <c r="E37" s="517" t="s">
        <v>128</v>
      </c>
      <c r="F37" s="534"/>
      <c r="G37" s="853"/>
      <c r="H37" s="859" t="str">
        <f>IFERROR(VLOOKUP(E37,Emissionsfaktoren_Stoffe!$C$4:$L$517,10,FALSE),"")</f>
        <v/>
      </c>
      <c r="I37" s="85"/>
      <c r="J37" s="116"/>
      <c r="K37" s="88"/>
      <c r="L37" s="511"/>
    </row>
    <row r="38" spans="1:12">
      <c r="A38" s="511"/>
      <c r="C38" s="531"/>
      <c r="D38" s="358"/>
      <c r="E38" s="404"/>
      <c r="F38" s="404"/>
      <c r="G38" s="703"/>
      <c r="H38" s="703"/>
      <c r="I38" s="85"/>
      <c r="J38" s="116"/>
      <c r="K38" s="88"/>
      <c r="L38" s="511"/>
    </row>
    <row r="39" spans="1:12">
      <c r="A39" s="511"/>
      <c r="C39" s="531"/>
      <c r="D39" s="358" t="s">
        <v>320</v>
      </c>
      <c r="E39" s="517" t="s">
        <v>128</v>
      </c>
      <c r="F39" s="534"/>
      <c r="G39" s="853"/>
      <c r="H39" s="859" t="str">
        <f>IFERROR(VLOOKUP(E39,Emissionsfaktoren_Stoffe!$C$4:$L$517,10,FALSE),"")</f>
        <v/>
      </c>
      <c r="I39" s="85"/>
      <c r="J39" s="116"/>
      <c r="K39" s="88"/>
      <c r="L39" s="511"/>
    </row>
    <row r="40" spans="1:12" ht="15" thickBot="1">
      <c r="A40" s="511"/>
      <c r="C40" s="531"/>
      <c r="D40" s="533"/>
      <c r="E40" s="533"/>
      <c r="F40" s="533"/>
      <c r="G40" s="533"/>
      <c r="H40" s="533"/>
      <c r="I40" s="533"/>
      <c r="J40" s="116"/>
      <c r="K40" s="88"/>
      <c r="L40" s="511"/>
    </row>
    <row r="41" spans="1:12" ht="19.5" thickTop="1" thickBot="1">
      <c r="A41" s="511"/>
      <c r="C41" s="531"/>
      <c r="D41" s="535"/>
      <c r="E41" s="536"/>
      <c r="F41" s="536"/>
      <c r="G41" s="536"/>
      <c r="H41" s="536"/>
      <c r="I41" s="536"/>
      <c r="J41" s="324" t="s">
        <v>239</v>
      </c>
      <c r="K41" s="84"/>
      <c r="L41" s="511"/>
    </row>
    <row r="42" spans="1:12" ht="15.5" thickTop="1" thickBot="1">
      <c r="A42" s="511"/>
      <c r="B42" s="62">
        <f>IF(F21&lt;&gt;"",1,0)</f>
        <v>1</v>
      </c>
      <c r="C42" s="531"/>
      <c r="D42" s="358"/>
      <c r="E42" s="358"/>
      <c r="F42" s="404"/>
      <c r="G42" s="85"/>
      <c r="H42" s="85"/>
      <c r="I42" s="85"/>
      <c r="J42" s="251"/>
      <c r="K42" s="88"/>
      <c r="L42" s="511"/>
    </row>
    <row r="43" spans="1:12" s="89" customFormat="1" ht="44" thickBot="1">
      <c r="A43" s="537"/>
      <c r="B43" s="232"/>
      <c r="C43" s="531"/>
      <c r="D43" s="90"/>
      <c r="E43" s="271" t="s">
        <v>321</v>
      </c>
      <c r="F43" s="959">
        <f>Produktion!L26</f>
        <v>1433.5399399999999</v>
      </c>
      <c r="G43" s="90" t="s">
        <v>322</v>
      </c>
      <c r="H43" s="92" t="s">
        <v>323</v>
      </c>
      <c r="I43" s="92"/>
      <c r="J43" s="149" t="s">
        <v>1878</v>
      </c>
      <c r="K43" s="93"/>
      <c r="L43" s="537"/>
    </row>
    <row r="44" spans="1:12" s="89" customFormat="1" ht="43.5">
      <c r="A44" s="537"/>
      <c r="B44" s="232"/>
      <c r="C44" s="531"/>
      <c r="D44" s="417"/>
      <c r="E44" s="417"/>
      <c r="F44" s="962" t="s">
        <v>1836</v>
      </c>
      <c r="G44" s="92"/>
      <c r="H44" s="961"/>
      <c r="I44" s="92"/>
      <c r="J44" s="963" t="s">
        <v>1835</v>
      </c>
      <c r="K44" s="93"/>
      <c r="L44" s="537"/>
    </row>
    <row r="45" spans="1:12" ht="15" thickBot="1">
      <c r="A45" s="511"/>
      <c r="C45" s="538"/>
      <c r="D45" s="539"/>
      <c r="E45" s="539"/>
      <c r="F45" s="539"/>
      <c r="G45" s="539"/>
      <c r="H45" s="539"/>
      <c r="I45" s="539"/>
      <c r="J45" s="540"/>
      <c r="K45" s="88"/>
      <c r="L45" s="511"/>
    </row>
    <row r="46" spans="1:12" ht="15" thickTop="1">
      <c r="A46" s="511"/>
      <c r="C46" s="358"/>
      <c r="D46" s="358"/>
      <c r="E46" s="358"/>
      <c r="F46" s="404"/>
      <c r="G46" s="85"/>
      <c r="H46" s="85"/>
      <c r="I46" s="85"/>
      <c r="J46" s="116"/>
      <c r="K46" s="88"/>
      <c r="L46" s="511"/>
    </row>
    <row r="47" spans="1:12" ht="21.5" thickBot="1">
      <c r="A47" s="511"/>
      <c r="C47" s="296" t="s">
        <v>242</v>
      </c>
      <c r="D47" s="358"/>
      <c r="E47" s="72"/>
      <c r="F47" s="404"/>
      <c r="G47" s="358"/>
      <c r="H47" s="358"/>
      <c r="I47" s="358"/>
      <c r="J47" s="117"/>
      <c r="K47" s="404"/>
      <c r="L47" s="511"/>
    </row>
    <row r="48" spans="1:12" ht="19" thickTop="1">
      <c r="A48" s="511"/>
      <c r="C48" s="530"/>
      <c r="D48" s="393"/>
      <c r="E48" s="393"/>
      <c r="F48" s="393"/>
      <c r="G48" s="393"/>
      <c r="H48" s="393"/>
      <c r="I48" s="393"/>
      <c r="J48" s="320" t="s">
        <v>239</v>
      </c>
      <c r="K48" s="91"/>
      <c r="L48" s="511"/>
    </row>
    <row r="49" spans="1:12">
      <c r="A49" s="511"/>
      <c r="C49" s="531"/>
      <c r="D49" s="358"/>
      <c r="E49" s="358"/>
      <c r="F49" s="404"/>
      <c r="G49" s="65"/>
      <c r="H49" s="65"/>
      <c r="I49" s="65"/>
      <c r="J49" s="319"/>
      <c r="K49" s="91"/>
      <c r="L49" s="511"/>
    </row>
    <row r="50" spans="1:12">
      <c r="A50" s="511"/>
      <c r="B50" s="62">
        <f>IF(AND(F52&lt;&gt;"",F54&lt;&gt;""),1,0)</f>
        <v>0</v>
      </c>
      <c r="C50" s="531"/>
      <c r="D50" s="358"/>
      <c r="E50" s="288" t="s">
        <v>243</v>
      </c>
      <c r="F50" s="518"/>
      <c r="G50" s="84"/>
      <c r="H50" s="84"/>
      <c r="I50" s="84"/>
      <c r="J50" s="149" t="s">
        <v>1723</v>
      </c>
      <c r="K50" s="88"/>
      <c r="L50" s="511"/>
    </row>
    <row r="51" spans="1:12">
      <c r="A51" s="511"/>
      <c r="C51" s="531"/>
      <c r="D51" s="358"/>
      <c r="E51" s="358"/>
      <c r="F51" s="404"/>
      <c r="G51" s="85"/>
      <c r="H51" s="85"/>
      <c r="I51" s="85"/>
      <c r="J51" s="837" t="s">
        <v>1734</v>
      </c>
      <c r="K51" s="84"/>
      <c r="L51" s="511"/>
    </row>
    <row r="52" spans="1:12" ht="29">
      <c r="A52" s="511"/>
      <c r="C52" s="531"/>
      <c r="D52" s="358"/>
      <c r="E52" s="514" t="s">
        <v>244</v>
      </c>
      <c r="F52" s="858"/>
      <c r="G52" s="417" t="s">
        <v>245</v>
      </c>
      <c r="H52" s="85"/>
      <c r="I52" s="85"/>
      <c r="J52" s="149" t="s">
        <v>1724</v>
      </c>
      <c r="K52" s="88"/>
      <c r="L52" s="511"/>
    </row>
    <row r="53" spans="1:12">
      <c r="A53" s="511"/>
      <c r="C53" s="531"/>
      <c r="D53" s="358"/>
      <c r="E53" s="358"/>
      <c r="F53" s="404"/>
      <c r="G53" s="85"/>
      <c r="H53" s="85"/>
      <c r="I53" s="85"/>
      <c r="J53" s="149"/>
      <c r="K53" s="88"/>
      <c r="L53" s="511"/>
    </row>
    <row r="54" spans="1:12">
      <c r="A54" s="511"/>
      <c r="C54" s="531"/>
      <c r="D54" s="358"/>
      <c r="E54" s="474" t="s">
        <v>246</v>
      </c>
      <c r="F54" s="517"/>
      <c r="G54" s="358" t="s">
        <v>247</v>
      </c>
      <c r="H54" s="92" t="s">
        <v>323</v>
      </c>
      <c r="I54" s="85"/>
      <c r="J54" s="149" t="s">
        <v>324</v>
      </c>
      <c r="K54" s="88"/>
      <c r="L54" s="511"/>
    </row>
    <row r="55" spans="1:12" ht="43.5">
      <c r="A55" s="511"/>
      <c r="C55" s="531"/>
      <c r="D55" s="358"/>
      <c r="E55" s="358"/>
      <c r="F55" s="404"/>
      <c r="G55" s="85"/>
      <c r="H55" s="85"/>
      <c r="I55" s="85"/>
      <c r="J55" s="149" t="s">
        <v>1736</v>
      </c>
      <c r="K55" s="88"/>
      <c r="L55" s="511"/>
    </row>
    <row r="56" spans="1:12" ht="15" thickBot="1">
      <c r="A56" s="511"/>
      <c r="C56" s="531"/>
      <c r="D56" s="519"/>
      <c r="E56" s="519"/>
      <c r="F56" s="520"/>
      <c r="G56" s="87"/>
      <c r="H56" s="87"/>
      <c r="I56" s="87"/>
      <c r="J56" s="119"/>
      <c r="K56" s="88"/>
      <c r="L56" s="511"/>
    </row>
    <row r="57" spans="1:12" ht="15" thickTop="1">
      <c r="A57" s="511"/>
      <c r="C57" s="531"/>
      <c r="D57" s="358"/>
      <c r="E57" s="358"/>
      <c r="F57" s="404"/>
      <c r="G57" s="85"/>
      <c r="H57" s="85"/>
      <c r="I57" s="85"/>
      <c r="J57" s="118"/>
      <c r="K57" s="84"/>
      <c r="L57" s="511"/>
    </row>
    <row r="58" spans="1:12">
      <c r="A58" s="511"/>
      <c r="B58" s="62">
        <f>IF(AND(F60&lt;&gt;"[Bitte auswählen]",G60&lt;&gt;"",H60&lt;&gt;""),1,0)</f>
        <v>0</v>
      </c>
      <c r="C58" s="531"/>
      <c r="D58" s="72" t="s">
        <v>248</v>
      </c>
      <c r="E58" s="358"/>
      <c r="F58" s="321"/>
      <c r="G58" s="322" t="s">
        <v>249</v>
      </c>
      <c r="H58" s="322" t="s">
        <v>250</v>
      </c>
      <c r="I58" s="85"/>
      <c r="J58" s="404"/>
      <c r="K58" s="88"/>
      <c r="L58" s="511"/>
    </row>
    <row r="59" spans="1:12">
      <c r="A59" s="511"/>
      <c r="C59" s="531"/>
      <c r="D59" s="358"/>
      <c r="E59" s="358"/>
      <c r="F59" s="321" t="s">
        <v>251</v>
      </c>
      <c r="G59" s="322" t="s">
        <v>252</v>
      </c>
      <c r="H59" s="322" t="s">
        <v>253</v>
      </c>
      <c r="I59" s="85"/>
      <c r="J59" s="148" t="s">
        <v>1320</v>
      </c>
      <c r="K59" s="84"/>
      <c r="L59" s="511"/>
    </row>
    <row r="60" spans="1:12" ht="29">
      <c r="A60" s="511"/>
      <c r="C60" s="531"/>
      <c r="D60" s="358"/>
      <c r="E60" s="474" t="s">
        <v>254</v>
      </c>
      <c r="F60" s="541" t="s">
        <v>128</v>
      </c>
      <c r="G60" s="475"/>
      <c r="H60" s="523"/>
      <c r="I60" s="86"/>
      <c r="J60" s="249" t="s">
        <v>1725</v>
      </c>
      <c r="K60" s="88"/>
      <c r="L60" s="511"/>
    </row>
    <row r="61" spans="1:12">
      <c r="A61" s="511"/>
      <c r="C61" s="531"/>
      <c r="D61" s="358"/>
      <c r="E61" s="474"/>
      <c r="F61" s="404"/>
      <c r="G61" s="358"/>
      <c r="H61" s="358"/>
      <c r="I61" s="86"/>
      <c r="J61" s="249"/>
      <c r="K61" s="88"/>
      <c r="L61" s="511"/>
    </row>
    <row r="62" spans="1:12">
      <c r="A62" s="511"/>
      <c r="C62" s="531"/>
      <c r="D62" s="358"/>
      <c r="E62" s="474" t="s">
        <v>255</v>
      </c>
      <c r="F62" s="541" t="s">
        <v>128</v>
      </c>
      <c r="G62" s="475"/>
      <c r="H62" s="523"/>
      <c r="I62" s="86"/>
      <c r="J62" s="149" t="s">
        <v>256</v>
      </c>
      <c r="K62" s="88"/>
      <c r="L62" s="511"/>
    </row>
    <row r="63" spans="1:12">
      <c r="A63" s="511"/>
      <c r="C63" s="531"/>
      <c r="D63" s="358"/>
      <c r="E63" s="474"/>
      <c r="F63" s="404"/>
      <c r="G63" s="358"/>
      <c r="H63" s="358"/>
      <c r="I63" s="86"/>
      <c r="J63" s="149" t="s">
        <v>257</v>
      </c>
      <c r="K63" s="88"/>
      <c r="L63" s="511"/>
    </row>
    <row r="64" spans="1:12">
      <c r="A64" s="511"/>
      <c r="C64" s="531"/>
      <c r="D64" s="358"/>
      <c r="E64" s="474" t="s">
        <v>258</v>
      </c>
      <c r="F64" s="541" t="s">
        <v>128</v>
      </c>
      <c r="G64" s="475"/>
      <c r="H64" s="523"/>
      <c r="I64" s="86"/>
      <c r="J64" s="149" t="s">
        <v>259</v>
      </c>
      <c r="K64" s="88"/>
      <c r="L64" s="511"/>
    </row>
    <row r="65" spans="1:12">
      <c r="A65" s="511"/>
      <c r="C65" s="531"/>
      <c r="D65" s="358"/>
      <c r="E65" s="474"/>
      <c r="F65" s="404"/>
      <c r="G65" s="358"/>
      <c r="H65" s="358"/>
      <c r="I65" s="85"/>
      <c r="J65" s="149" t="s">
        <v>260</v>
      </c>
      <c r="K65" s="88"/>
      <c r="L65" s="511"/>
    </row>
    <row r="66" spans="1:12">
      <c r="A66" s="511"/>
      <c r="C66" s="531"/>
      <c r="D66" s="358"/>
      <c r="E66" s="474" t="s">
        <v>261</v>
      </c>
      <c r="F66" s="541" t="s">
        <v>128</v>
      </c>
      <c r="G66" s="475"/>
      <c r="H66" s="523"/>
      <c r="I66" s="86"/>
      <c r="J66" s="149"/>
      <c r="K66" s="88"/>
      <c r="L66" s="511"/>
    </row>
    <row r="67" spans="1:12">
      <c r="A67" s="511"/>
      <c r="C67" s="531"/>
      <c r="D67" s="358"/>
      <c r="E67" s="474"/>
      <c r="F67" s="404"/>
      <c r="G67" s="358"/>
      <c r="H67" s="358"/>
      <c r="I67" s="86"/>
      <c r="J67" s="149" t="s">
        <v>262</v>
      </c>
      <c r="K67" s="88"/>
      <c r="L67" s="511"/>
    </row>
    <row r="68" spans="1:12">
      <c r="A68" s="511"/>
      <c r="C68" s="531"/>
      <c r="D68" s="358"/>
      <c r="E68" s="474" t="s">
        <v>263</v>
      </c>
      <c r="F68" s="541" t="s">
        <v>128</v>
      </c>
      <c r="G68" s="475"/>
      <c r="H68" s="523"/>
      <c r="I68" s="86"/>
      <c r="J68" s="316" t="s">
        <v>264</v>
      </c>
      <c r="K68" s="88"/>
      <c r="L68" s="511"/>
    </row>
    <row r="69" spans="1:12">
      <c r="A69" s="511"/>
      <c r="C69" s="531"/>
      <c r="D69" s="358"/>
      <c r="E69" s="474"/>
      <c r="F69" s="404"/>
      <c r="G69" s="358"/>
      <c r="H69" s="358"/>
      <c r="I69" s="86"/>
      <c r="K69" s="88"/>
      <c r="L69" s="511"/>
    </row>
    <row r="70" spans="1:12">
      <c r="A70" s="511"/>
      <c r="C70" s="531"/>
      <c r="D70" s="358"/>
      <c r="E70" s="474" t="s">
        <v>265</v>
      </c>
      <c r="F70" s="541" t="s">
        <v>128</v>
      </c>
      <c r="G70" s="475"/>
      <c r="H70" s="523"/>
      <c r="I70" s="86"/>
      <c r="K70" s="88"/>
      <c r="L70" s="511"/>
    </row>
    <row r="71" spans="1:12">
      <c r="A71" s="511"/>
      <c r="C71" s="531"/>
      <c r="D71" s="358"/>
      <c r="E71" s="474"/>
      <c r="F71" s="404"/>
      <c r="G71" s="358"/>
      <c r="H71" s="358"/>
      <c r="I71" s="85"/>
      <c r="J71" s="118"/>
      <c r="K71" s="88"/>
      <c r="L71" s="511"/>
    </row>
    <row r="72" spans="1:12">
      <c r="A72" s="511"/>
      <c r="C72" s="531"/>
      <c r="D72" s="358"/>
      <c r="E72" s="474" t="s">
        <v>266</v>
      </c>
      <c r="F72" s="541" t="s">
        <v>128</v>
      </c>
      <c r="G72" s="475"/>
      <c r="H72" s="523"/>
      <c r="I72" s="86"/>
      <c r="J72" s="118"/>
      <c r="K72" s="88"/>
      <c r="L72" s="511"/>
    </row>
    <row r="73" spans="1:12" ht="15" thickBot="1">
      <c r="A73" s="511"/>
      <c r="C73" s="531"/>
      <c r="D73" s="519"/>
      <c r="E73" s="519"/>
      <c r="F73" s="520"/>
      <c r="G73" s="87"/>
      <c r="H73" s="87"/>
      <c r="I73" s="87"/>
      <c r="J73" s="119"/>
      <c r="K73" s="88"/>
      <c r="L73" s="511"/>
    </row>
    <row r="74" spans="1:12" ht="15" thickTop="1">
      <c r="A74" s="511"/>
      <c r="C74" s="531"/>
      <c r="D74" s="358"/>
      <c r="E74" s="358"/>
      <c r="F74" s="404"/>
      <c r="G74" s="85"/>
      <c r="H74" s="85"/>
      <c r="I74" s="85"/>
      <c r="J74" s="118"/>
      <c r="K74" s="84"/>
      <c r="L74" s="511"/>
    </row>
    <row r="75" spans="1:12">
      <c r="A75" s="511"/>
      <c r="B75" s="62">
        <f>IF(F77="[Bitte auswählen]",0,1)</f>
        <v>0</v>
      </c>
      <c r="C75" s="531"/>
      <c r="D75" s="72" t="s">
        <v>267</v>
      </c>
      <c r="E75" s="358"/>
      <c r="F75" s="321"/>
      <c r="G75" s="72"/>
      <c r="H75" s="72"/>
      <c r="I75" s="322" t="s">
        <v>325</v>
      </c>
      <c r="J75" s="325" t="s">
        <v>268</v>
      </c>
      <c r="K75" s="84"/>
      <c r="L75" s="511"/>
    </row>
    <row r="76" spans="1:12">
      <c r="A76" s="511"/>
      <c r="C76" s="531"/>
      <c r="D76" s="358"/>
      <c r="E76" s="358"/>
      <c r="F76" s="321" t="s">
        <v>251</v>
      </c>
      <c r="G76" s="322" t="s">
        <v>269</v>
      </c>
      <c r="H76" s="322" t="s">
        <v>228</v>
      </c>
      <c r="I76" s="322" t="s">
        <v>326</v>
      </c>
      <c r="J76" s="149"/>
      <c r="K76" s="84"/>
      <c r="L76" s="511"/>
    </row>
    <row r="77" spans="1:12">
      <c r="A77" s="511"/>
      <c r="C77" s="531"/>
      <c r="D77" s="358"/>
      <c r="E77" s="474" t="s">
        <v>271</v>
      </c>
      <c r="F77" s="843" t="s">
        <v>128</v>
      </c>
      <c r="G77" s="853"/>
      <c r="H77" s="860" t="str">
        <f>IFERROR(VLOOKUP(F77,Emissionsfaktoren_Prozesse!$D$108:$R$156,3,FALSE),"")</f>
        <v/>
      </c>
      <c r="I77" s="861"/>
      <c r="J77" s="325" t="s">
        <v>272</v>
      </c>
      <c r="K77" s="84"/>
      <c r="L77" s="511"/>
    </row>
    <row r="78" spans="1:12">
      <c r="A78" s="511"/>
      <c r="C78" s="531"/>
      <c r="D78" s="358"/>
      <c r="E78" s="474"/>
      <c r="F78" s="533"/>
      <c r="G78" s="703"/>
      <c r="H78" s="862"/>
      <c r="I78" s="703"/>
      <c r="J78" s="325" t="s">
        <v>1727</v>
      </c>
      <c r="K78" s="84"/>
      <c r="L78" s="511"/>
    </row>
    <row r="79" spans="1:12">
      <c r="A79" s="511"/>
      <c r="C79" s="531"/>
      <c r="D79" s="358"/>
      <c r="E79" s="474" t="s">
        <v>273</v>
      </c>
      <c r="F79" s="843" t="s">
        <v>128</v>
      </c>
      <c r="G79" s="853"/>
      <c r="H79" s="860" t="str">
        <f>IFERROR(VLOOKUP(F79,Emissionsfaktoren_Prozesse!$D$108:$R$156,3,FALSE),"")</f>
        <v/>
      </c>
      <c r="I79" s="861"/>
      <c r="J79" s="149"/>
      <c r="K79" s="84"/>
      <c r="L79" s="511"/>
    </row>
    <row r="80" spans="1:12">
      <c r="A80" s="511"/>
      <c r="C80" s="531"/>
      <c r="D80" s="358"/>
      <c r="E80" s="474"/>
      <c r="F80" s="533"/>
      <c r="G80" s="703"/>
      <c r="H80" s="862"/>
      <c r="I80" s="703"/>
      <c r="J80" s="325" t="s">
        <v>274</v>
      </c>
      <c r="K80" s="84"/>
      <c r="L80" s="511"/>
    </row>
    <row r="81" spans="1:12">
      <c r="A81" s="511"/>
      <c r="C81" s="531"/>
      <c r="D81" s="358"/>
      <c r="E81" s="474" t="s">
        <v>275</v>
      </c>
      <c r="F81" s="843" t="s">
        <v>128</v>
      </c>
      <c r="G81" s="853"/>
      <c r="H81" s="860" t="str">
        <f>IFERROR(VLOOKUP(F81,Emissionsfaktoren_Prozesse!$D$108:$R$156,3,FALSE),"")</f>
        <v/>
      </c>
      <c r="I81" s="861"/>
      <c r="J81" s="149"/>
      <c r="K81" s="84"/>
      <c r="L81" s="511"/>
    </row>
    <row r="82" spans="1:12">
      <c r="A82" s="511"/>
      <c r="C82" s="531"/>
      <c r="D82" s="358"/>
      <c r="E82" s="474"/>
      <c r="F82" s="533"/>
      <c r="G82" s="703"/>
      <c r="H82" s="862"/>
      <c r="I82" s="703"/>
      <c r="J82" s="325" t="s">
        <v>1726</v>
      </c>
      <c r="K82" s="84"/>
      <c r="L82" s="511"/>
    </row>
    <row r="83" spans="1:12">
      <c r="A83" s="511"/>
      <c r="C83" s="531"/>
      <c r="D83" s="358"/>
      <c r="E83" s="474" t="s">
        <v>276</v>
      </c>
      <c r="F83" s="843" t="s">
        <v>128</v>
      </c>
      <c r="G83" s="853"/>
      <c r="H83" s="860" t="str">
        <f>IFERROR(VLOOKUP(F83,Emissionsfaktoren_Prozesse!$D$108:$R$156,3,FALSE),"")</f>
        <v/>
      </c>
      <c r="I83" s="861"/>
      <c r="J83" s="325" t="s">
        <v>1732</v>
      </c>
      <c r="K83" s="84"/>
      <c r="L83" s="511"/>
    </row>
    <row r="84" spans="1:12">
      <c r="A84" s="511"/>
      <c r="C84" s="531"/>
      <c r="D84" s="358"/>
      <c r="E84" s="474"/>
      <c r="F84" s="533"/>
      <c r="G84" s="703"/>
      <c r="H84" s="862"/>
      <c r="I84" s="703"/>
      <c r="J84" s="149"/>
      <c r="K84" s="84"/>
      <c r="L84" s="511"/>
    </row>
    <row r="85" spans="1:12">
      <c r="A85" s="511"/>
      <c r="C85" s="531"/>
      <c r="D85" s="358"/>
      <c r="E85" s="474" t="s">
        <v>277</v>
      </c>
      <c r="F85" s="843" t="s">
        <v>128</v>
      </c>
      <c r="G85" s="853"/>
      <c r="H85" s="860" t="str">
        <f>IFERROR(VLOOKUP(F85,Emissionsfaktoren_Prozesse!$D$108:$R$156,3,FALSE),"")</f>
        <v/>
      </c>
      <c r="I85" s="861"/>
      <c r="J85" s="325" t="s">
        <v>278</v>
      </c>
      <c r="K85" s="84"/>
      <c r="L85" s="511"/>
    </row>
    <row r="86" spans="1:12">
      <c r="A86" s="511"/>
      <c r="C86" s="531"/>
      <c r="D86" s="358"/>
      <c r="E86" s="474"/>
      <c r="F86" s="533"/>
      <c r="G86" s="703"/>
      <c r="H86" s="862"/>
      <c r="I86" s="703"/>
      <c r="J86" s="325" t="s">
        <v>1850</v>
      </c>
      <c r="K86" s="84"/>
      <c r="L86" s="511"/>
    </row>
    <row r="87" spans="1:12">
      <c r="A87" s="511"/>
      <c r="C87" s="531"/>
      <c r="D87" s="358"/>
      <c r="E87" s="474" t="s">
        <v>279</v>
      </c>
      <c r="F87" s="843" t="s">
        <v>128</v>
      </c>
      <c r="G87" s="853"/>
      <c r="H87" s="860" t="str">
        <f>IFERROR(VLOOKUP(F87,Emissionsfaktoren_Prozesse!$D$108:$R$156,3,FALSE),"")</f>
        <v/>
      </c>
      <c r="I87" s="861"/>
      <c r="J87" s="404"/>
      <c r="K87" s="84"/>
      <c r="L87" s="511"/>
    </row>
    <row r="88" spans="1:12">
      <c r="A88" s="511"/>
      <c r="C88" s="531"/>
      <c r="D88" s="358"/>
      <c r="E88" s="474"/>
      <c r="F88" s="533"/>
      <c r="G88" s="703"/>
      <c r="H88" s="862"/>
      <c r="I88" s="703"/>
      <c r="J88" s="325" t="s">
        <v>280</v>
      </c>
      <c r="K88" s="84"/>
      <c r="L88" s="511"/>
    </row>
    <row r="89" spans="1:12">
      <c r="A89" s="511"/>
      <c r="C89" s="531"/>
      <c r="D89" s="358"/>
      <c r="E89" s="474" t="s">
        <v>281</v>
      </c>
      <c r="F89" s="843" t="s">
        <v>128</v>
      </c>
      <c r="G89" s="853"/>
      <c r="H89" s="860" t="str">
        <f>IFERROR(VLOOKUP(F89,Emissionsfaktoren_Prozesse!$D$108:$R$156,3,FALSE),"")</f>
        <v/>
      </c>
      <c r="I89" s="861"/>
      <c r="J89" s="326" t="s">
        <v>282</v>
      </c>
      <c r="K89" s="84"/>
      <c r="L89" s="511"/>
    </row>
    <row r="90" spans="1:12">
      <c r="A90" s="511"/>
      <c r="C90" s="531"/>
      <c r="D90" s="358"/>
      <c r="E90" s="358"/>
      <c r="F90" s="404"/>
      <c r="G90" s="85"/>
      <c r="H90" s="85"/>
      <c r="I90" s="85"/>
      <c r="J90" s="118"/>
      <c r="K90" s="84"/>
      <c r="L90" s="511"/>
    </row>
    <row r="91" spans="1:12" ht="15" thickBot="1">
      <c r="A91" s="511"/>
      <c r="C91" s="538"/>
      <c r="D91" s="539"/>
      <c r="E91" s="539"/>
      <c r="F91" s="539"/>
      <c r="G91" s="539"/>
      <c r="H91" s="539"/>
      <c r="I91" s="539"/>
      <c r="J91" s="540"/>
      <c r="K91" s="84"/>
      <c r="L91" s="511"/>
    </row>
    <row r="92" spans="1:12" ht="15" thickTop="1">
      <c r="A92" s="511"/>
      <c r="C92" s="358"/>
      <c r="D92" s="358"/>
      <c r="E92" s="358"/>
      <c r="F92" s="404"/>
      <c r="G92" s="358"/>
      <c r="H92" s="358"/>
      <c r="I92" s="358"/>
      <c r="J92" s="117"/>
      <c r="K92" s="404"/>
      <c r="L92" s="511"/>
    </row>
    <row r="93" spans="1:12">
      <c r="A93" s="511"/>
      <c r="C93" s="358"/>
      <c r="D93" s="358"/>
      <c r="E93" s="358"/>
      <c r="F93" s="404"/>
      <c r="G93" s="358"/>
      <c r="H93" s="358"/>
      <c r="I93" s="358"/>
      <c r="J93" s="117"/>
      <c r="K93" s="404"/>
      <c r="L93" s="511"/>
    </row>
    <row r="94" spans="1:12" ht="21.5" thickBot="1">
      <c r="A94" s="511"/>
      <c r="C94" s="296" t="s">
        <v>283</v>
      </c>
      <c r="D94" s="296"/>
      <c r="E94" s="358"/>
      <c r="F94" s="404"/>
      <c r="G94" s="358"/>
      <c r="H94" s="358"/>
      <c r="I94" s="358"/>
      <c r="J94" s="117"/>
      <c r="K94" s="404"/>
      <c r="L94" s="511"/>
    </row>
    <row r="95" spans="1:12" ht="19" thickTop="1">
      <c r="A95" s="511"/>
      <c r="C95" s="530"/>
      <c r="D95" s="393"/>
      <c r="E95" s="393"/>
      <c r="F95" s="393"/>
      <c r="G95" s="393"/>
      <c r="H95" s="393"/>
      <c r="I95" s="393"/>
      <c r="J95" s="320" t="s">
        <v>239</v>
      </c>
      <c r="K95" s="91"/>
      <c r="L95" s="511"/>
    </row>
    <row r="96" spans="1:12">
      <c r="A96" s="511"/>
      <c r="C96" s="531"/>
      <c r="D96" s="358"/>
      <c r="E96" s="358"/>
      <c r="F96" s="404"/>
      <c r="G96" s="72" t="s">
        <v>228</v>
      </c>
      <c r="H96" s="65"/>
      <c r="I96" s="65"/>
      <c r="J96" s="319"/>
      <c r="K96" s="91"/>
      <c r="L96" s="511"/>
    </row>
    <row r="97" spans="1:14">
      <c r="A97" s="511"/>
      <c r="B97" s="62">
        <f>IF(AND(F102&lt;&gt;"[Bitte auswählen]",G102&lt;&gt;""),1,0)</f>
        <v>1</v>
      </c>
      <c r="C97" s="531"/>
      <c r="D97" s="358"/>
      <c r="E97" s="1010" t="s">
        <v>1924</v>
      </c>
      <c r="F97" s="542">
        <v>10</v>
      </c>
      <c r="G97" s="587" t="s">
        <v>327</v>
      </c>
      <c r="H97" s="833"/>
      <c r="I97" s="833"/>
      <c r="J97" s="327" t="s">
        <v>285</v>
      </c>
      <c r="K97" s="88"/>
      <c r="L97" s="511"/>
    </row>
    <row r="98" spans="1:14">
      <c r="A98" s="511"/>
      <c r="C98" s="531"/>
      <c r="D98" s="358"/>
      <c r="E98" s="313" t="s">
        <v>1776</v>
      </c>
      <c r="F98" s="542">
        <f>203*6</f>
        <v>1218</v>
      </c>
      <c r="G98" s="1013" t="s">
        <v>1757</v>
      </c>
      <c r="H98" s="834" t="s">
        <v>286</v>
      </c>
      <c r="I98" s="835"/>
      <c r="J98" s="836" t="s">
        <v>1777</v>
      </c>
      <c r="K98" s="88"/>
      <c r="L98" s="511"/>
    </row>
    <row r="99" spans="1:14" ht="43.5">
      <c r="A99" s="511"/>
      <c r="C99" s="531"/>
      <c r="D99" s="358"/>
      <c r="E99" s="838" t="s">
        <v>401</v>
      </c>
      <c r="F99" s="588">
        <f>IF(F98="",F97,F97*F98)</f>
        <v>12180</v>
      </c>
      <c r="G99" s="526" t="str">
        <f>IF(G98="",G97,G98)</f>
        <v>Stunden</v>
      </c>
      <c r="H99" s="84"/>
      <c r="I99" s="84"/>
      <c r="J99" s="149" t="s">
        <v>1728</v>
      </c>
      <c r="K99" s="88"/>
      <c r="L99" s="511"/>
    </row>
    <row r="100" spans="1:14">
      <c r="A100" s="511"/>
      <c r="C100" s="531"/>
      <c r="D100" s="358"/>
      <c r="E100" s="358"/>
      <c r="F100" s="404"/>
      <c r="G100" s="85"/>
      <c r="H100" s="85"/>
      <c r="I100" s="85"/>
      <c r="J100" s="149"/>
      <c r="K100" s="88"/>
      <c r="L100" s="511"/>
    </row>
    <row r="101" spans="1:14">
      <c r="A101" s="511"/>
      <c r="C101" s="531"/>
      <c r="D101" s="358"/>
      <c r="E101" s="358"/>
      <c r="F101" s="321" t="s">
        <v>287</v>
      </c>
      <c r="G101" s="72" t="s">
        <v>1729</v>
      </c>
      <c r="H101" s="85"/>
      <c r="I101" s="85"/>
      <c r="J101" s="149"/>
      <c r="K101" s="88"/>
      <c r="L101" s="511"/>
    </row>
    <row r="102" spans="1:14">
      <c r="A102" s="511"/>
      <c r="C102" s="531"/>
      <c r="D102" s="358"/>
      <c r="E102" s="474" t="s">
        <v>288</v>
      </c>
      <c r="F102" s="517" t="s">
        <v>188</v>
      </c>
      <c r="G102" s="854">
        <f>9.04*F98/1000</f>
        <v>11.010719999999999</v>
      </c>
      <c r="H102" s="528" t="str">
        <f>IFERROR(VLOOKUP(F102,Emissionsfaktoren_Prozesse!$E$4:$F$103,2,FALSE),"")</f>
        <v>kWh</v>
      </c>
      <c r="I102" s="529" t="s">
        <v>289</v>
      </c>
      <c r="J102" s="149" t="s">
        <v>290</v>
      </c>
      <c r="K102" s="88"/>
      <c r="L102" s="511"/>
    </row>
    <row r="103" spans="1:14">
      <c r="A103" s="511"/>
      <c r="C103" s="531"/>
      <c r="D103" s="358"/>
      <c r="E103" s="474" t="s">
        <v>288</v>
      </c>
      <c r="F103" s="527" t="s">
        <v>188</v>
      </c>
      <c r="G103" s="854">
        <f>18.82*F98/1000</f>
        <v>22.922760000000004</v>
      </c>
      <c r="H103" s="528" t="str">
        <f>IFERROR(VLOOKUP(F103,Emissionsfaktoren_Prozesse!$E$4:$F$103,2,FALSE),"")</f>
        <v>kWh</v>
      </c>
      <c r="I103" s="529" t="s">
        <v>289</v>
      </c>
      <c r="J103" s="66" t="s">
        <v>1875</v>
      </c>
      <c r="K103" s="88"/>
      <c r="L103" s="511"/>
    </row>
    <row r="104" spans="1:14">
      <c r="A104" s="511"/>
      <c r="C104" s="531"/>
      <c r="D104" s="358"/>
      <c r="E104" s="474" t="s">
        <v>288</v>
      </c>
      <c r="F104" s="517" t="s">
        <v>128</v>
      </c>
      <c r="G104" s="854"/>
      <c r="H104" s="528" t="str">
        <f>IFERROR(VLOOKUP(F104,Emissionsfaktoren_Prozesse!$E$4:$F$103,2,FALSE),"")</f>
        <v/>
      </c>
      <c r="I104" s="529" t="s">
        <v>289</v>
      </c>
      <c r="J104" s="118"/>
      <c r="K104" s="88"/>
      <c r="L104" s="511"/>
    </row>
    <row r="105" spans="1:14" ht="15" thickBot="1">
      <c r="A105" s="511"/>
      <c r="C105" s="531"/>
      <c r="D105" s="519"/>
      <c r="E105" s="519"/>
      <c r="F105" s="520"/>
      <c r="G105" s="87"/>
      <c r="H105" s="87"/>
      <c r="I105" s="87"/>
      <c r="J105" s="119"/>
      <c r="K105" s="84"/>
      <c r="L105" s="511"/>
    </row>
    <row r="106" spans="1:14" ht="15" thickTop="1">
      <c r="A106" s="511"/>
      <c r="C106" s="531"/>
      <c r="D106" s="358"/>
      <c r="E106" s="358"/>
      <c r="F106" s="404"/>
      <c r="G106" s="85"/>
      <c r="H106" s="85"/>
      <c r="I106" s="85"/>
      <c r="J106" s="118"/>
      <c r="K106" s="84"/>
      <c r="L106" s="511"/>
    </row>
    <row r="107" spans="1:14">
      <c r="A107" s="511"/>
      <c r="B107" s="62">
        <f>IF(F109="[Bitte auswählen]",0,1)</f>
        <v>0</v>
      </c>
      <c r="C107" s="531"/>
      <c r="D107" s="328" t="s">
        <v>291</v>
      </c>
      <c r="E107" s="361"/>
      <c r="F107" s="404"/>
      <c r="G107" s="85"/>
      <c r="H107" s="85"/>
      <c r="I107" s="85"/>
      <c r="J107" s="404"/>
      <c r="K107" s="88"/>
      <c r="L107" s="511"/>
    </row>
    <row r="108" spans="1:14" ht="58">
      <c r="A108" s="511"/>
      <c r="C108" s="531"/>
      <c r="D108" s="358"/>
      <c r="E108" s="358"/>
      <c r="F108" s="321" t="s">
        <v>251</v>
      </c>
      <c r="G108" s="321" t="s">
        <v>1922</v>
      </c>
      <c r="H108" s="72" t="s">
        <v>292</v>
      </c>
      <c r="I108" s="358"/>
      <c r="J108" s="149" t="s">
        <v>1923</v>
      </c>
      <c r="K108" s="84"/>
      <c r="L108" s="511"/>
    </row>
    <row r="109" spans="1:14" ht="43.5">
      <c r="A109" s="511"/>
      <c r="C109" s="531"/>
      <c r="D109" s="358"/>
      <c r="E109" s="474" t="s">
        <v>271</v>
      </c>
      <c r="F109" s="517" t="s">
        <v>128</v>
      </c>
      <c r="G109" s="522"/>
      <c r="H109" s="511">
        <f>IFERROR(VLOOKUP(F109,Emissionsfaktoren_Lebenszyklus!$C$5:$J$17,6,FALSE),0)*G109</f>
        <v>0</v>
      </c>
      <c r="I109" s="65" t="s">
        <v>293</v>
      </c>
      <c r="J109" s="118" t="s">
        <v>1731</v>
      </c>
      <c r="K109" s="88"/>
      <c r="L109" s="511"/>
    </row>
    <row r="110" spans="1:14">
      <c r="A110" s="511"/>
      <c r="C110" s="531"/>
      <c r="D110" s="358"/>
      <c r="E110" s="474"/>
      <c r="F110" s="404"/>
      <c r="G110" s="358"/>
      <c r="H110" s="358"/>
      <c r="I110" s="65"/>
      <c r="J110" s="404"/>
      <c r="K110" s="88"/>
      <c r="L110" s="511"/>
    </row>
    <row r="111" spans="1:14" ht="43.5">
      <c r="A111" s="511"/>
      <c r="C111" s="531"/>
      <c r="D111" s="358"/>
      <c r="E111" s="474" t="s">
        <v>273</v>
      </c>
      <c r="F111" s="517" t="s">
        <v>128</v>
      </c>
      <c r="G111" s="522"/>
      <c r="H111" s="511">
        <f>IFERROR(VLOOKUP(F111,Emissionsfaktoren_Lebenszyklus!$C$5:$J$17,6,FALSE),0)*G111</f>
        <v>0</v>
      </c>
      <c r="I111" s="65" t="s">
        <v>293</v>
      </c>
      <c r="J111" s="149" t="s">
        <v>1730</v>
      </c>
      <c r="K111" s="88"/>
      <c r="L111" s="511"/>
    </row>
    <row r="112" spans="1:14">
      <c r="A112" s="511"/>
      <c r="C112" s="531"/>
      <c r="D112" s="358"/>
      <c r="E112" s="474"/>
      <c r="F112" s="404"/>
      <c r="G112" s="358"/>
      <c r="H112" s="358"/>
      <c r="I112" s="65"/>
      <c r="J112" s="404"/>
      <c r="K112" s="88"/>
      <c r="L112" s="511"/>
      <c r="M112" s="358"/>
      <c r="N112" s="358"/>
    </row>
    <row r="113" spans="1:14">
      <c r="A113" s="511"/>
      <c r="C113" s="531"/>
      <c r="D113" s="358"/>
      <c r="E113" s="474" t="s">
        <v>275</v>
      </c>
      <c r="F113" s="517" t="s">
        <v>128</v>
      </c>
      <c r="G113" s="522"/>
      <c r="H113" s="511">
        <f>IFERROR(VLOOKUP(F113,Emissionsfaktoren_Lebenszyklus!$C$5:$J$17,6,FALSE),0)*G113</f>
        <v>0</v>
      </c>
      <c r="I113" s="65" t="s">
        <v>293</v>
      </c>
      <c r="J113" s="149" t="s">
        <v>294</v>
      </c>
      <c r="K113" s="88"/>
      <c r="L113" s="511"/>
      <c r="M113" s="358"/>
      <c r="N113" s="358"/>
    </row>
    <row r="114" spans="1:14">
      <c r="A114" s="511"/>
      <c r="C114" s="531"/>
      <c r="D114" s="358"/>
      <c r="E114" s="474"/>
      <c r="F114" s="404"/>
      <c r="G114" s="358"/>
      <c r="H114" s="358"/>
      <c r="I114" s="65"/>
      <c r="J114" s="404"/>
      <c r="K114" s="88"/>
      <c r="L114" s="511"/>
      <c r="M114" s="358"/>
      <c r="N114" s="358"/>
    </row>
    <row r="115" spans="1:14">
      <c r="A115" s="511"/>
      <c r="C115" s="531"/>
      <c r="D115" s="358"/>
      <c r="E115" s="474" t="s">
        <v>276</v>
      </c>
      <c r="F115" s="517" t="s">
        <v>128</v>
      </c>
      <c r="G115" s="522"/>
      <c r="H115" s="511">
        <f>IFERROR(VLOOKUP(F115,Emissionsfaktoren_Lebenszyklus!$C$5:$J$17,6,FALSE),0)*G115</f>
        <v>0</v>
      </c>
      <c r="I115" s="65" t="s">
        <v>293</v>
      </c>
      <c r="J115" s="404"/>
      <c r="K115" s="88"/>
      <c r="L115" s="511"/>
      <c r="M115" s="358"/>
      <c r="N115" s="358"/>
    </row>
    <row r="116" spans="1:14">
      <c r="A116" s="511"/>
      <c r="C116" s="531"/>
      <c r="D116" s="358"/>
      <c r="E116" s="474"/>
      <c r="F116" s="404"/>
      <c r="G116" s="358"/>
      <c r="H116" s="358"/>
      <c r="I116" s="65"/>
      <c r="J116" s="149"/>
      <c r="K116" s="88"/>
      <c r="L116" s="511"/>
      <c r="M116" s="358"/>
      <c r="N116" s="358"/>
    </row>
    <row r="117" spans="1:14">
      <c r="A117" s="511"/>
      <c r="C117" s="531"/>
      <c r="D117" s="358"/>
      <c r="E117" s="474" t="s">
        <v>277</v>
      </c>
      <c r="F117" s="517" t="s">
        <v>128</v>
      </c>
      <c r="G117" s="522"/>
      <c r="H117" s="511">
        <f>IFERROR(VLOOKUP(F117,Emissionsfaktoren_Lebenszyklus!$C$5:$J$17,6,FALSE),0)*G117</f>
        <v>0</v>
      </c>
      <c r="I117" s="65" t="s">
        <v>293</v>
      </c>
      <c r="J117" s="404"/>
      <c r="K117" s="88"/>
      <c r="L117" s="511"/>
      <c r="M117" s="358"/>
      <c r="N117" s="94"/>
    </row>
    <row r="118" spans="1:14">
      <c r="A118" s="511"/>
      <c r="C118" s="531"/>
      <c r="D118" s="358"/>
      <c r="E118" s="474"/>
      <c r="F118" s="404"/>
      <c r="G118" s="358"/>
      <c r="H118" s="358"/>
      <c r="I118" s="65"/>
      <c r="J118" s="404"/>
      <c r="K118" s="88"/>
      <c r="L118" s="511"/>
      <c r="M118" s="358"/>
      <c r="N118" s="358"/>
    </row>
    <row r="119" spans="1:14">
      <c r="A119" s="511"/>
      <c r="C119" s="531"/>
      <c r="D119" s="358"/>
      <c r="E119" s="474" t="s">
        <v>279</v>
      </c>
      <c r="F119" s="517" t="s">
        <v>128</v>
      </c>
      <c r="G119" s="522"/>
      <c r="H119" s="511">
        <f>IFERROR(VLOOKUP(F119,Emissionsfaktoren_Lebenszyklus!$C$5:$J$17,6,FALSE),0)*G119</f>
        <v>0</v>
      </c>
      <c r="I119" s="65" t="s">
        <v>293</v>
      </c>
      <c r="J119" s="116"/>
      <c r="K119" s="88"/>
      <c r="L119" s="511"/>
      <c r="M119" s="358"/>
      <c r="N119" s="358"/>
    </row>
    <row r="120" spans="1:14">
      <c r="A120" s="511"/>
      <c r="C120" s="531"/>
      <c r="D120" s="358"/>
      <c r="E120" s="474"/>
      <c r="F120" s="404"/>
      <c r="G120" s="358"/>
      <c r="H120" s="358"/>
      <c r="I120" s="65"/>
      <c r="J120" s="118"/>
      <c r="K120" s="88"/>
      <c r="L120" s="511"/>
      <c r="M120" s="358"/>
      <c r="N120" s="358"/>
    </row>
    <row r="121" spans="1:14">
      <c r="A121" s="511"/>
      <c r="C121" s="531"/>
      <c r="D121" s="358"/>
      <c r="E121" s="474" t="s">
        <v>281</v>
      </c>
      <c r="F121" s="517" t="s">
        <v>128</v>
      </c>
      <c r="G121" s="522"/>
      <c r="H121" s="511">
        <f>IFERROR(VLOOKUP(F121,Emissionsfaktoren_Lebenszyklus!$C$5:$J$17,6,FALSE),0)*G121</f>
        <v>0</v>
      </c>
      <c r="I121" s="65" t="s">
        <v>293</v>
      </c>
      <c r="J121" s="317"/>
      <c r="K121" s="88"/>
      <c r="L121" s="511"/>
      <c r="M121" s="358"/>
      <c r="N121" s="358"/>
    </row>
    <row r="122" spans="1:14">
      <c r="A122" s="511"/>
      <c r="C122" s="531"/>
      <c r="D122" s="358"/>
      <c r="E122" s="474"/>
      <c r="F122" s="404"/>
      <c r="G122" s="358"/>
      <c r="H122" s="358"/>
      <c r="I122" s="65"/>
      <c r="J122" s="317"/>
      <c r="K122" s="88"/>
      <c r="L122" s="511"/>
      <c r="M122" s="358"/>
      <c r="N122" s="358"/>
    </row>
    <row r="123" spans="1:14">
      <c r="A123" s="511"/>
      <c r="C123" s="531"/>
      <c r="D123" s="358"/>
      <c r="E123" s="474" t="s">
        <v>295</v>
      </c>
      <c r="F123" s="517" t="s">
        <v>128</v>
      </c>
      <c r="G123" s="522"/>
      <c r="H123" s="511">
        <f>IFERROR(VLOOKUP(F123,Emissionsfaktoren_Lebenszyklus!$C$5:$J$17,6,FALSE),0)*G123</f>
        <v>0</v>
      </c>
      <c r="I123" s="65" t="s">
        <v>293</v>
      </c>
      <c r="J123" s="317"/>
      <c r="K123" s="88"/>
      <c r="L123" s="511"/>
      <c r="M123" s="358"/>
      <c r="N123" s="358"/>
    </row>
    <row r="124" spans="1:14">
      <c r="A124" s="511"/>
      <c r="C124" s="531"/>
      <c r="D124" s="358"/>
      <c r="E124" s="358"/>
      <c r="F124" s="404"/>
      <c r="G124" s="86"/>
      <c r="H124" s="86"/>
      <c r="I124" s="85"/>
      <c r="J124" s="404"/>
      <c r="K124" s="88"/>
      <c r="L124" s="511"/>
      <c r="M124" s="358"/>
      <c r="N124" s="358"/>
    </row>
    <row r="125" spans="1:14" ht="15" thickBot="1">
      <c r="A125" s="511"/>
      <c r="C125" s="538"/>
      <c r="D125" s="539"/>
      <c r="E125" s="539"/>
      <c r="F125" s="539"/>
      <c r="G125" s="539"/>
      <c r="H125" s="539"/>
      <c r="I125" s="539"/>
      <c r="J125" s="540"/>
      <c r="K125" s="84"/>
      <c r="L125" s="511"/>
      <c r="M125" s="358"/>
      <c r="N125" s="358"/>
    </row>
    <row r="126" spans="1:14" ht="15" thickTop="1">
      <c r="A126" s="511"/>
      <c r="C126" s="358"/>
      <c r="D126" s="358"/>
      <c r="E126" s="358"/>
      <c r="F126" s="404"/>
      <c r="G126" s="358"/>
      <c r="H126" s="358"/>
      <c r="I126" s="358"/>
      <c r="J126" s="404"/>
      <c r="K126" s="404"/>
      <c r="L126" s="511"/>
      <c r="M126" s="358"/>
      <c r="N126" s="358"/>
    </row>
    <row r="127" spans="1:14">
      <c r="A127" s="511"/>
      <c r="B127" s="229"/>
      <c r="C127" s="511"/>
      <c r="D127" s="511"/>
      <c r="E127" s="511"/>
      <c r="F127" s="512"/>
      <c r="G127" s="511"/>
      <c r="H127" s="511"/>
      <c r="I127" s="511"/>
      <c r="J127" s="512"/>
      <c r="K127" s="512"/>
      <c r="L127" s="511"/>
      <c r="M127" s="358"/>
      <c r="N127" s="358"/>
    </row>
  </sheetData>
  <phoneticPr fontId="34" type="noConversion"/>
  <dataValidations count="1">
    <dataValidation allowBlank="1" showInputMessage="1" sqref="F21:F39" xr:uid="{00000000-0002-0000-0900-000000000000}"/>
  </dataValidations>
  <hyperlinks>
    <hyperlink ref="J89" r:id="rId1" xr:uid="{7F7753CD-768F-4AC4-AEEB-BC4CC8ED0920}"/>
    <hyperlink ref="J68" r:id="rId2" xr:uid="{BE22FEE6-3D67-4035-A839-05E56B2D69F8}"/>
    <hyperlink ref="I3" location="'Aufbau LCC-CO2-Tool'!A1" display="zurück zur Übersicht" xr:uid="{D5EA91E1-8D1C-45BD-93FA-7AA887EA6402}"/>
    <hyperlink ref="I4" location="'Anleitung für Beschaffende'!A18" display="zurück zur Anleitung für Beschaffende " xr:uid="{5B8F573C-1FCD-4E45-A1C6-98445AA3DD14}"/>
    <hyperlink ref="I5" location="'Anleitung für Bietende'!A14" display="zurück zur Anleitung für Bietende" xr:uid="{73568141-3711-4439-9B5B-8803CA4342AC}"/>
  </hyperlinks>
  <pageMargins left="0.70866141732283472" right="0.70866141732283472" top="0.78740157480314965" bottom="0.78740157480314965" header="0.31496062992125984" footer="0.31496062992125984"/>
  <pageSetup paperSize="9" scale="33" orientation="portrait" r:id="rId3"/>
  <headerFooter>
    <oddHeader>&amp;C&amp;14&amp;KFF0000TESTVERSION!</oddHeader>
    <oddFooter>&amp;L&amp;8&amp;K000000LCC-CO2-Tool - Arbeitshilfe des Umweltbundesamtes&amp;C&amp;8Berechnung der THG-Emissionen &amp;Uohne&amp;U Zertifikat&amp;R&amp;8&amp;P</oddFooter>
  </headerFooter>
  <ignoredErrors>
    <ignoredError sqref="G102:G103" unlockedFormula="1"/>
  </ignoredErrors>
  <drawing r:id="rId4"/>
  <legacyDrawing r:id="rId5"/>
  <extLst>
    <ext xmlns:x14="http://schemas.microsoft.com/office/spreadsheetml/2009/9/main" uri="{CCE6A557-97BC-4b89-ADB6-D9C93CAAB3DF}">
      <x14:dataValidations xmlns:xm="http://schemas.microsoft.com/office/excel/2006/main" count="5">
        <x14:dataValidation type="list" allowBlank="1" showInputMessage="1" xr:uid="{00000000-0002-0000-0900-000005000000}">
          <x14:formula1>
            <xm:f>Emissionsfaktoren_Lebenszyklus!$C$3:$C$17</xm:f>
          </x14:formula1>
          <xm:sqref>F111 F109 F123 F121 F119 F117 F115 F113</xm:sqref>
        </x14:dataValidation>
        <x14:dataValidation type="list" allowBlank="1" showInputMessage="1" xr:uid="{61670B36-3B60-46B8-9618-284674D51701}">
          <x14:formula1>
            <xm:f>Emissionsfaktoren_Prozesse!$D$106:$D$156</xm:f>
          </x14:formula1>
          <xm:sqref>F77 F89 F87 F85 F83 F81 F79</xm:sqref>
        </x14:dataValidation>
        <x14:dataValidation type="list" allowBlank="1" showInputMessage="1" xr:uid="{DF60666A-D73D-4988-8793-22196F362E30}">
          <x14:formula1>
            <xm:f>Emissionsfaktoren_Prozesse!$E$3:$E$103</xm:f>
          </x14:formula1>
          <xm:sqref>F102:F104</xm:sqref>
        </x14:dataValidation>
        <x14:dataValidation type="list" allowBlank="1" showInputMessage="1" showErrorMessage="1" xr:uid="{B731432A-CB87-4EAF-B108-0E11796894D3}">
          <x14:formula1>
            <xm:f>Emissionsfaktoren_Prozesse!$D$159:$D$183</xm:f>
          </x14:formula1>
          <xm:sqref>F60 F62 F64 F66 F68 F70 F72</xm:sqref>
        </x14:dataValidation>
        <x14:dataValidation type="list" allowBlank="1" showInputMessage="1" xr:uid="{3512E2FB-1004-4CC2-BE13-3510475852BA}">
          <x14:formula1>
            <xm:f>Emissionsfaktoren_Stoffe!$C$3:$C$453</xm:f>
          </x14:formula1>
          <xm:sqref>E39 E23 E21 E27 E29 E31 E33 E35 E37 E25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80C65-9072-4C20-A4D7-843806C869C0}">
  <sheetPr>
    <tabColor rgb="FFD9BBD8"/>
    <pageSetUpPr fitToPage="1"/>
  </sheetPr>
  <dimension ref="A1:AM47"/>
  <sheetViews>
    <sheetView showGridLines="0" zoomScale="80" zoomScaleNormal="80" workbookViewId="0">
      <selection activeCell="M38" sqref="M38"/>
    </sheetView>
  </sheetViews>
  <sheetFormatPr baseColWidth="10" defaultColWidth="8" defaultRowHeight="14.5"/>
  <cols>
    <col min="1" max="1" width="2.08203125" style="756" customWidth="1"/>
    <col min="2" max="2" width="3.58203125" style="756" customWidth="1"/>
    <col min="3" max="3" width="2.08203125" style="756" customWidth="1"/>
    <col min="4" max="4" width="45.58203125" style="756" customWidth="1"/>
    <col min="5" max="6" width="20.58203125" style="756" customWidth="1"/>
    <col min="7" max="7" width="3.58203125" style="756" customWidth="1"/>
    <col min="8" max="8" width="2.08203125" style="756" customWidth="1"/>
    <col min="9" max="9" width="2.58203125" style="756" customWidth="1"/>
    <col min="10" max="10" width="2.08203125" style="756" customWidth="1"/>
    <col min="11" max="11" width="4.58203125" style="756" customWidth="1"/>
    <col min="12" max="14" width="20.58203125" style="756" customWidth="1"/>
    <col min="15" max="15" width="50.58203125" style="756" customWidth="1"/>
    <col min="16" max="16" width="2.08203125" style="756" customWidth="1"/>
    <col min="17" max="17" width="2.58203125" style="756" customWidth="1"/>
    <col min="18" max="18" width="2.08203125" style="756" customWidth="1"/>
    <col min="19" max="22" width="8" style="756" customWidth="1"/>
    <col min="23" max="23" width="8" style="756"/>
    <col min="24" max="31" width="8" style="756" customWidth="1"/>
    <col min="32" max="32" width="8" style="756"/>
    <col min="33" max="33" width="8" style="756" customWidth="1"/>
    <col min="34" max="34" width="8" style="756"/>
    <col min="35" max="37" width="8" style="756" customWidth="1"/>
    <col min="38" max="38" width="4.25" style="756" customWidth="1"/>
    <col min="39" max="39" width="4" style="756" customWidth="1"/>
    <col min="40" max="16384" width="8" style="756"/>
  </cols>
  <sheetData>
    <row r="1" spans="1:39" ht="14.5" customHeight="1" thickBot="1">
      <c r="A1" s="808"/>
      <c r="B1" s="808"/>
      <c r="C1" s="808"/>
      <c r="D1" s="808"/>
      <c r="E1" s="808"/>
      <c r="F1" s="808"/>
      <c r="G1" s="808"/>
      <c r="H1" s="808"/>
      <c r="I1" s="808"/>
      <c r="J1" s="808"/>
      <c r="K1" s="808"/>
      <c r="L1" s="808"/>
      <c r="M1" s="808"/>
      <c r="N1" s="808"/>
      <c r="O1" s="808"/>
      <c r="P1" s="808"/>
      <c r="Q1" s="808"/>
      <c r="R1" s="755"/>
      <c r="S1" s="757"/>
      <c r="T1" s="757"/>
      <c r="U1" s="757"/>
      <c r="V1" s="757"/>
      <c r="W1" s="757"/>
      <c r="X1" s="757"/>
      <c r="Y1" s="757"/>
      <c r="Z1" s="757"/>
      <c r="AA1" s="757"/>
      <c r="AB1" s="757"/>
      <c r="AC1" s="757"/>
      <c r="AD1" s="757"/>
      <c r="AE1" s="757"/>
      <c r="AF1" s="757"/>
      <c r="AG1" s="757"/>
      <c r="AH1" s="757"/>
      <c r="AI1" s="757"/>
      <c r="AJ1" s="757"/>
      <c r="AK1" s="757"/>
      <c r="AL1" s="757"/>
      <c r="AM1" s="757"/>
    </row>
    <row r="2" spans="1:39" ht="33.5" customHeight="1" thickTop="1">
      <c r="A2" s="755"/>
      <c r="B2" s="757"/>
      <c r="D2" s="630" t="s">
        <v>1717</v>
      </c>
      <c r="E2" s="713"/>
      <c r="F2" s="713"/>
      <c r="G2" s="713"/>
      <c r="H2" s="713"/>
      <c r="I2" s="713"/>
      <c r="J2" s="713"/>
      <c r="K2" s="713"/>
      <c r="L2" s="713"/>
      <c r="M2" s="713"/>
      <c r="N2" s="713"/>
      <c r="O2" s="713"/>
      <c r="P2" s="713"/>
      <c r="R2" s="639"/>
      <c r="S2" s="713"/>
      <c r="T2" s="713"/>
      <c r="U2" s="713"/>
      <c r="V2" s="713"/>
      <c r="W2" s="713"/>
      <c r="X2" s="713"/>
      <c r="Y2" s="713"/>
      <c r="Z2" s="713"/>
      <c r="AA2" s="713"/>
      <c r="AB2" s="713"/>
      <c r="AC2" s="713"/>
      <c r="AD2" s="713"/>
      <c r="AE2" s="713"/>
      <c r="AF2" s="713"/>
      <c r="AG2" s="713"/>
      <c r="AH2" s="713"/>
      <c r="AI2" s="713"/>
      <c r="AJ2" s="713"/>
      <c r="AK2" s="758"/>
      <c r="AL2" s="757"/>
      <c r="AM2" s="757"/>
    </row>
    <row r="3" spans="1:39" ht="33.5" customHeight="1">
      <c r="A3" s="755"/>
      <c r="B3" s="757"/>
      <c r="C3" s="757"/>
      <c r="D3" s="672" t="s">
        <v>92</v>
      </c>
      <c r="F3" s="1001" t="s">
        <v>1886</v>
      </c>
      <c r="G3" s="759"/>
      <c r="H3" s="759"/>
      <c r="I3" s="759"/>
      <c r="J3" s="677"/>
      <c r="K3" s="677"/>
      <c r="L3" s="677"/>
      <c r="M3" s="677"/>
      <c r="N3" s="677"/>
      <c r="O3" s="677"/>
      <c r="P3" s="677"/>
      <c r="R3" s="786"/>
      <c r="S3" s="677"/>
      <c r="T3" s="677"/>
      <c r="U3" s="677"/>
      <c r="V3" s="677"/>
      <c r="W3" s="677"/>
      <c r="X3" s="677"/>
      <c r="Y3" s="677"/>
      <c r="Z3" s="677"/>
      <c r="AA3" s="677"/>
      <c r="AB3" s="677"/>
      <c r="AC3" s="677"/>
      <c r="AD3" s="677"/>
      <c r="AE3" s="677"/>
      <c r="AF3" s="677"/>
      <c r="AG3" s="677"/>
      <c r="AH3" s="677"/>
      <c r="AI3" s="677"/>
      <c r="AJ3" s="677"/>
      <c r="AK3" s="677"/>
      <c r="AL3" s="757"/>
      <c r="AM3" s="757"/>
    </row>
    <row r="4" spans="1:39" ht="24.5" thickBot="1">
      <c r="A4" s="755"/>
      <c r="B4" s="757"/>
      <c r="C4" s="759"/>
      <c r="D4" s="746" t="s">
        <v>44</v>
      </c>
      <c r="E4" s="759"/>
      <c r="F4" s="1001" t="s">
        <v>1887</v>
      </c>
      <c r="G4" s="759"/>
      <c r="H4" s="759"/>
      <c r="I4" s="759"/>
      <c r="J4" s="798" t="s">
        <v>1798</v>
      </c>
      <c r="K4" s="799"/>
      <c r="L4" s="799"/>
      <c r="M4" s="800"/>
      <c r="N4" s="800"/>
      <c r="O4" s="800"/>
      <c r="P4" s="801"/>
      <c r="R4" s="786"/>
      <c r="S4" s="677"/>
      <c r="T4" s="677"/>
      <c r="U4" s="677"/>
      <c r="V4" s="677"/>
      <c r="W4" s="677"/>
      <c r="X4" s="677"/>
      <c r="Y4" s="677"/>
      <c r="Z4" s="677"/>
      <c r="AA4" s="677"/>
      <c r="AB4" s="677"/>
      <c r="AC4" s="677"/>
      <c r="AD4" s="677"/>
      <c r="AE4" s="677"/>
      <c r="AF4" s="677"/>
      <c r="AG4" s="677"/>
      <c r="AH4" s="677"/>
      <c r="AI4" s="677"/>
      <c r="AJ4" s="677"/>
      <c r="AK4" s="677"/>
      <c r="AL4" s="757"/>
      <c r="AM4" s="757"/>
    </row>
    <row r="5" spans="1:39" ht="15" thickTop="1">
      <c r="A5" s="755"/>
      <c r="B5" s="757"/>
      <c r="C5" s="759"/>
      <c r="D5" s="759"/>
      <c r="E5" s="759"/>
      <c r="F5" s="1001" t="s">
        <v>1888</v>
      </c>
      <c r="G5" s="759"/>
      <c r="H5" s="759"/>
      <c r="I5" s="759"/>
      <c r="J5" s="745"/>
      <c r="K5" s="677"/>
      <c r="L5" s="673"/>
      <c r="M5" s="731" t="s">
        <v>1712</v>
      </c>
      <c r="N5" s="673"/>
      <c r="O5" s="673"/>
      <c r="P5" s="802"/>
      <c r="R5" s="786"/>
      <c r="S5" s="677"/>
      <c r="T5" s="677"/>
      <c r="U5" s="677"/>
      <c r="V5" s="677"/>
      <c r="W5" s="677"/>
      <c r="X5" s="677"/>
      <c r="Y5" s="677"/>
      <c r="Z5" s="677"/>
      <c r="AA5" s="677"/>
      <c r="AB5" s="677"/>
      <c r="AC5" s="677"/>
      <c r="AD5" s="677"/>
      <c r="AE5" s="677"/>
      <c r="AF5" s="677"/>
      <c r="AG5" s="677"/>
      <c r="AH5" s="677"/>
      <c r="AI5" s="677"/>
      <c r="AJ5" s="677"/>
      <c r="AK5" s="677"/>
      <c r="AL5" s="757"/>
      <c r="AM5" s="757"/>
    </row>
    <row r="6" spans="1:39">
      <c r="A6" s="755"/>
      <c r="B6" s="757"/>
      <c r="C6" s="759"/>
      <c r="D6" s="709" t="str">
        <f>IF(Einmalkosten!D7="","",Einmalkosten!D7)</f>
        <v/>
      </c>
      <c r="E6" s="695" t="s">
        <v>1705</v>
      </c>
      <c r="F6" s="759"/>
      <c r="G6" s="759"/>
      <c r="H6" s="759"/>
      <c r="I6" s="759"/>
      <c r="J6" s="745"/>
      <c r="K6" s="677"/>
      <c r="L6" s="634">
        <f>SUM(E18,L18,E35)</f>
        <v>186640</v>
      </c>
      <c r="M6" s="634">
        <f>SUM(E18,L18,F35)</f>
        <v>186640</v>
      </c>
      <c r="N6" s="728" t="str">
        <f>CONCATENATE("Gesamtangebotspreis für die Vertragslaufzeit (",D8," Jahre)")</f>
        <v>Gesamtangebotspreis für die Vertragslaufzeit ( Jahre)</v>
      </c>
      <c r="O6" s="673"/>
      <c r="P6" s="803"/>
      <c r="R6" s="762"/>
      <c r="S6" s="761"/>
      <c r="T6" s="775"/>
      <c r="U6" s="775"/>
      <c r="V6" s="775"/>
      <c r="W6" s="677"/>
      <c r="X6" s="677"/>
      <c r="Y6" s="677"/>
      <c r="Z6" s="677"/>
      <c r="AA6" s="677"/>
      <c r="AB6" s="677"/>
      <c r="AC6" s="677"/>
      <c r="AD6" s="677"/>
      <c r="AE6" s="677"/>
      <c r="AF6" s="677"/>
      <c r="AG6" s="677"/>
      <c r="AH6" s="677"/>
      <c r="AI6" s="677"/>
      <c r="AJ6" s="677"/>
      <c r="AK6" s="677"/>
      <c r="AL6" s="757"/>
      <c r="AM6" s="757"/>
    </row>
    <row r="7" spans="1:39">
      <c r="A7" s="755"/>
      <c r="B7" s="757"/>
      <c r="C7" s="759"/>
      <c r="D7" s="698"/>
      <c r="E7" s="697" t="s">
        <v>1706</v>
      </c>
      <c r="F7" s="759"/>
      <c r="G7" s="759"/>
      <c r="H7" s="759"/>
      <c r="I7" s="759"/>
      <c r="J7" s="745"/>
      <c r="K7" s="677"/>
      <c r="L7" s="729"/>
      <c r="M7" s="980"/>
      <c r="N7" s="728" t="str">
        <f>CONCATENATE("Bei Laufzeitoption: Gesamtangebotspreis nur für zusätzlichen Optionszeitraum (",D9," Jahre)")</f>
        <v>Bei Laufzeitoption: Gesamtangebotspreis nur für zusätzlichen Optionszeitraum ( Jahre)</v>
      </c>
      <c r="O7" s="673"/>
      <c r="P7" s="802"/>
      <c r="R7" s="786"/>
      <c r="S7" s="677"/>
      <c r="T7" s="209"/>
      <c r="U7" s="209"/>
      <c r="V7" s="209"/>
      <c r="W7" s="677"/>
      <c r="X7" s="677"/>
      <c r="Y7" s="677"/>
      <c r="Z7" s="677"/>
      <c r="AA7" s="677"/>
      <c r="AB7" s="677"/>
      <c r="AC7" s="677"/>
      <c r="AD7" s="677"/>
      <c r="AE7" s="677"/>
      <c r="AF7" s="677"/>
      <c r="AG7" s="677"/>
      <c r="AH7" s="677"/>
      <c r="AI7" s="677"/>
      <c r="AJ7" s="677"/>
      <c r="AK7" s="677"/>
      <c r="AL7" s="757"/>
      <c r="AM7" s="757"/>
    </row>
    <row r="8" spans="1:39" ht="15" thickBot="1">
      <c r="A8" s="755"/>
      <c r="B8" s="757"/>
      <c r="C8" s="759"/>
      <c r="D8" s="716"/>
      <c r="E8" s="695" t="s">
        <v>329</v>
      </c>
      <c r="F8" s="759"/>
      <c r="G8" s="759"/>
      <c r="H8" s="759"/>
      <c r="I8" s="759"/>
      <c r="J8" s="745"/>
      <c r="K8" s="677"/>
      <c r="L8" s="730"/>
      <c r="M8" s="731" t="s">
        <v>1712</v>
      </c>
      <c r="N8" s="732"/>
      <c r="O8" s="673"/>
      <c r="P8" s="804"/>
      <c r="R8" s="639"/>
      <c r="S8" s="713"/>
      <c r="T8" s="775"/>
      <c r="U8" s="775"/>
      <c r="V8" s="775"/>
      <c r="W8" s="677"/>
      <c r="X8" s="677"/>
      <c r="Y8" s="677"/>
      <c r="Z8" s="677"/>
      <c r="AA8" s="677"/>
      <c r="AB8" s="677"/>
      <c r="AC8" s="677"/>
      <c r="AD8" s="677"/>
      <c r="AE8" s="677"/>
      <c r="AF8" s="677"/>
      <c r="AG8" s="677"/>
      <c r="AH8" s="677"/>
      <c r="AI8" s="677"/>
      <c r="AJ8" s="677"/>
      <c r="AK8" s="677"/>
      <c r="AL8" s="757"/>
      <c r="AM8" s="757"/>
    </row>
    <row r="9" spans="1:39" ht="19" thickBot="1">
      <c r="A9" s="755"/>
      <c r="B9" s="757"/>
      <c r="C9" s="677"/>
      <c r="D9" s="715"/>
      <c r="E9" s="714" t="s">
        <v>1710</v>
      </c>
      <c r="F9" s="677"/>
      <c r="G9" s="677"/>
      <c r="H9" s="677"/>
      <c r="I9" s="677"/>
      <c r="J9" s="745"/>
      <c r="K9" s="677"/>
      <c r="L9" s="726">
        <f>SUM(E18,L18,E28)</f>
        <v>248206.498096</v>
      </c>
      <c r="M9" s="727">
        <f>SUM(E18,L18,F28)</f>
        <v>255557.88951687937</v>
      </c>
      <c r="N9" s="752" t="str">
        <f>CONCATENATE("LCC-Kosten über Lebenszyklus (Betrachtungszeitraum ",E11," Jahre)")</f>
        <v>LCC-Kosten über Lebenszyklus (Betrachtungszeitraum 10 Jahre)</v>
      </c>
      <c r="O9" s="772"/>
      <c r="P9" s="802"/>
      <c r="R9" s="786"/>
      <c r="S9" s="677"/>
      <c r="T9" s="677"/>
      <c r="U9" s="677"/>
      <c r="V9" s="677"/>
      <c r="W9" s="677"/>
      <c r="X9" s="677"/>
      <c r="Y9" s="677"/>
      <c r="Z9" s="677"/>
      <c r="AA9" s="677"/>
      <c r="AB9" s="677"/>
      <c r="AC9" s="677"/>
      <c r="AD9" s="677"/>
      <c r="AE9" s="677"/>
      <c r="AF9" s="677"/>
      <c r="AG9" s="677"/>
      <c r="AH9" s="677"/>
      <c r="AI9" s="677"/>
      <c r="AJ9" s="677"/>
      <c r="AK9" s="677"/>
      <c r="AL9" s="757"/>
      <c r="AM9" s="757"/>
    </row>
    <row r="10" spans="1:39" ht="21" thickBot="1">
      <c r="A10" s="755"/>
      <c r="B10" s="760"/>
      <c r="C10" s="677"/>
      <c r="D10" s="677"/>
      <c r="E10" s="677"/>
      <c r="F10" s="677"/>
      <c r="G10" s="714"/>
      <c r="H10" s="714"/>
      <c r="I10" s="714"/>
      <c r="J10" s="745"/>
      <c r="K10" s="714"/>
      <c r="L10" s="796">
        <f>N31</f>
        <v>31249.534051772396</v>
      </c>
      <c r="M10" s="795"/>
      <c r="N10" s="797" t="s">
        <v>1799</v>
      </c>
      <c r="O10" s="774"/>
      <c r="P10" s="802"/>
      <c r="R10" s="787"/>
      <c r="S10" s="714"/>
      <c r="T10" s="635"/>
      <c r="U10" s="677"/>
      <c r="V10" s="677"/>
      <c r="W10" s="677"/>
      <c r="X10" s="677"/>
      <c r="Y10" s="677"/>
      <c r="Z10" s="677"/>
      <c r="AA10" s="677"/>
      <c r="AB10" s="677"/>
      <c r="AC10" s="677"/>
      <c r="AD10" s="677"/>
      <c r="AE10" s="677"/>
      <c r="AF10" s="677"/>
      <c r="AG10" s="677"/>
      <c r="AH10" s="677"/>
      <c r="AI10" s="677"/>
      <c r="AJ10" s="677"/>
      <c r="AK10" s="677"/>
      <c r="AL10" s="757"/>
      <c r="AM10" s="757"/>
    </row>
    <row r="11" spans="1:39">
      <c r="A11" s="755"/>
      <c r="B11" s="760"/>
      <c r="C11" s="677"/>
      <c r="D11" s="1008" t="s">
        <v>1908</v>
      </c>
      <c r="E11" s="747">
        <f>Nutzung!C8</f>
        <v>10</v>
      </c>
      <c r="F11" s="747" t="str">
        <f>Nutzung!D8</f>
        <v xml:space="preserve">Jahr(e) </v>
      </c>
      <c r="G11" s="714"/>
      <c r="H11" s="714"/>
      <c r="I11" s="714"/>
      <c r="J11" s="745"/>
      <c r="K11" s="714"/>
      <c r="L11" s="673"/>
      <c r="M11" s="731" t="s">
        <v>1712</v>
      </c>
      <c r="N11" s="697"/>
      <c r="O11" s="673"/>
      <c r="P11" s="802"/>
      <c r="R11" s="787"/>
      <c r="S11" s="714"/>
      <c r="T11" s="677"/>
      <c r="U11" s="677"/>
      <c r="V11" s="677"/>
      <c r="W11" s="677"/>
      <c r="X11" s="677"/>
      <c r="Y11" s="677"/>
      <c r="Z11" s="677"/>
      <c r="AA11" s="677"/>
      <c r="AB11" s="677"/>
      <c r="AC11" s="677"/>
      <c r="AD11" s="677"/>
      <c r="AE11" s="677"/>
      <c r="AF11" s="677"/>
      <c r="AG11" s="677"/>
      <c r="AH11" s="677"/>
      <c r="AI11" s="677"/>
      <c r="AJ11" s="677"/>
      <c r="AK11" s="677"/>
      <c r="AL11" s="757"/>
      <c r="AM11" s="757"/>
    </row>
    <row r="12" spans="1:39">
      <c r="A12" s="755"/>
      <c r="B12" s="760"/>
      <c r="C12" s="677"/>
      <c r="D12" s="748" t="s">
        <v>1714</v>
      </c>
      <c r="E12" s="749">
        <f>Produktion!C5</f>
        <v>100</v>
      </c>
      <c r="F12" s="749" t="str">
        <f>Produktion!D5</f>
        <v>Arbeitsplatzcomputer, Variante Notebook 3 Jahre</v>
      </c>
      <c r="G12" s="714"/>
      <c r="H12" s="714"/>
      <c r="I12" s="714"/>
      <c r="J12" s="745"/>
      <c r="K12" s="714"/>
      <c r="L12" s="733">
        <f>IFERROR(SUM(E18,L18,E28)/E11,0)</f>
        <v>24820.6498096</v>
      </c>
      <c r="M12" s="733">
        <f>IFERROR(SUM(E18,L18,F28)/E11,0)</f>
        <v>25555.788951687937</v>
      </c>
      <c r="N12" s="734" t="s">
        <v>1720</v>
      </c>
      <c r="O12" s="714"/>
      <c r="P12" s="802"/>
      <c r="R12" s="787"/>
      <c r="S12" s="714"/>
      <c r="T12" s="776"/>
      <c r="U12" s="677"/>
      <c r="V12" s="677"/>
      <c r="W12" s="677"/>
      <c r="X12" s="677"/>
      <c r="Y12" s="677"/>
      <c r="Z12" s="677"/>
      <c r="AA12" s="677"/>
      <c r="AB12" s="677"/>
      <c r="AC12" s="677"/>
      <c r="AD12" s="677"/>
      <c r="AE12" s="677"/>
      <c r="AF12" s="677"/>
      <c r="AG12" s="677"/>
      <c r="AH12" s="677"/>
      <c r="AI12" s="677"/>
      <c r="AJ12" s="677"/>
      <c r="AK12" s="677"/>
      <c r="AL12" s="757"/>
      <c r="AM12" s="757"/>
    </row>
    <row r="13" spans="1:39">
      <c r="A13" s="755"/>
      <c r="B13" s="760"/>
      <c r="C13" s="677"/>
      <c r="D13" s="677"/>
      <c r="E13" s="677"/>
      <c r="F13" s="677"/>
      <c r="G13" s="714"/>
      <c r="H13" s="714"/>
      <c r="I13" s="714"/>
      <c r="J13" s="745"/>
      <c r="K13" s="714"/>
      <c r="L13" s="714"/>
      <c r="M13" s="714"/>
      <c r="N13" s="714"/>
      <c r="O13" s="714"/>
      <c r="P13" s="802"/>
      <c r="R13" s="787"/>
      <c r="S13" s="714"/>
      <c r="T13" s="677"/>
      <c r="U13" s="677"/>
      <c r="V13" s="677"/>
      <c r="W13" s="677"/>
      <c r="X13" s="677"/>
      <c r="Y13" s="677"/>
      <c r="Z13" s="677"/>
      <c r="AA13" s="677"/>
      <c r="AB13" s="677"/>
      <c r="AC13" s="677"/>
      <c r="AD13" s="677"/>
      <c r="AE13" s="677"/>
      <c r="AF13" s="677"/>
      <c r="AG13" s="677"/>
      <c r="AH13" s="677"/>
      <c r="AI13" s="677"/>
      <c r="AJ13" s="677"/>
      <c r="AK13" s="677"/>
      <c r="AL13" s="757"/>
      <c r="AM13" s="757"/>
    </row>
    <row r="14" spans="1:39">
      <c r="A14" s="755"/>
      <c r="B14" s="760"/>
      <c r="C14" s="677"/>
      <c r="D14" s="677"/>
      <c r="E14" s="677"/>
      <c r="F14" s="677"/>
      <c r="G14" s="714"/>
      <c r="H14" s="714"/>
      <c r="I14" s="714"/>
      <c r="J14" s="745"/>
      <c r="K14" s="787"/>
      <c r="L14" s="787"/>
      <c r="M14" s="787"/>
      <c r="N14" s="787"/>
      <c r="O14" s="787"/>
      <c r="P14" s="787"/>
      <c r="R14" s="787"/>
      <c r="S14" s="714"/>
      <c r="T14" s="677"/>
      <c r="U14" s="677"/>
      <c r="V14" s="677"/>
      <c r="W14" s="677"/>
      <c r="X14" s="677"/>
      <c r="Y14" s="677"/>
      <c r="Z14" s="677"/>
      <c r="AA14" s="677"/>
      <c r="AB14" s="677"/>
      <c r="AC14" s="677"/>
      <c r="AD14" s="677"/>
      <c r="AE14" s="677"/>
      <c r="AF14" s="677"/>
      <c r="AG14" s="677"/>
      <c r="AH14" s="677"/>
      <c r="AI14" s="677"/>
      <c r="AJ14" s="677"/>
      <c r="AK14" s="677"/>
      <c r="AL14" s="757"/>
      <c r="AM14" s="757"/>
    </row>
    <row r="15" spans="1:39">
      <c r="A15" s="755"/>
      <c r="B15" s="760"/>
      <c r="C15" s="677"/>
      <c r="D15" s="677"/>
      <c r="E15" s="677"/>
      <c r="F15" s="677"/>
      <c r="G15" s="714"/>
      <c r="H15" s="714"/>
      <c r="I15" s="714"/>
      <c r="J15" s="714"/>
      <c r="K15" s="714"/>
      <c r="L15" s="714"/>
      <c r="M15" s="714"/>
      <c r="N15" s="714"/>
      <c r="O15" s="714"/>
      <c r="P15" s="714"/>
      <c r="R15" s="787"/>
      <c r="S15" s="714"/>
      <c r="T15" s="677"/>
      <c r="U15" s="677"/>
      <c r="V15" s="677"/>
      <c r="W15" s="677"/>
      <c r="X15" s="677"/>
      <c r="Y15" s="677"/>
      <c r="Z15" s="677"/>
      <c r="AA15" s="677"/>
      <c r="AB15" s="677"/>
      <c r="AC15" s="677"/>
      <c r="AD15" s="677"/>
      <c r="AE15" s="677"/>
      <c r="AF15" s="677"/>
      <c r="AG15" s="677"/>
      <c r="AH15" s="677"/>
      <c r="AI15" s="677"/>
      <c r="AJ15" s="677"/>
      <c r="AK15" s="677"/>
      <c r="AL15" s="757"/>
      <c r="AM15" s="757"/>
    </row>
    <row r="16" spans="1:39">
      <c r="A16" s="755"/>
      <c r="B16" s="757"/>
      <c r="C16" s="685" t="s">
        <v>1698</v>
      </c>
      <c r="D16" s="764"/>
      <c r="E16" s="764"/>
      <c r="F16" s="764"/>
      <c r="G16" s="764"/>
      <c r="H16" s="777"/>
      <c r="I16" s="677"/>
      <c r="J16" s="815" t="s">
        <v>1704</v>
      </c>
      <c r="K16" s="640"/>
      <c r="L16" s="640"/>
      <c r="M16" s="640"/>
      <c r="N16" s="640"/>
      <c r="O16" s="640"/>
      <c r="P16" s="640"/>
      <c r="R16" s="786"/>
      <c r="S16" s="677"/>
      <c r="T16" s="677"/>
      <c r="U16" s="757"/>
      <c r="V16" s="757"/>
      <c r="W16" s="757"/>
      <c r="X16" s="757"/>
      <c r="Y16" s="757"/>
      <c r="Z16" s="757"/>
      <c r="AA16" s="757"/>
      <c r="AB16" s="757"/>
      <c r="AC16" s="757"/>
      <c r="AD16" s="757"/>
      <c r="AE16" s="757"/>
      <c r="AF16" s="757"/>
      <c r="AG16" s="757"/>
      <c r="AH16" s="757"/>
      <c r="AI16" s="757"/>
      <c r="AJ16" s="757"/>
      <c r="AK16" s="757"/>
      <c r="AL16" s="757"/>
      <c r="AM16" s="757"/>
    </row>
    <row r="17" spans="1:39" ht="15" thickBot="1">
      <c r="A17" s="755"/>
      <c r="B17" s="757"/>
      <c r="C17" s="764"/>
      <c r="D17" s="757"/>
      <c r="E17" s="757"/>
      <c r="F17" s="757"/>
      <c r="G17" s="757"/>
      <c r="H17" s="778"/>
      <c r="I17" s="757"/>
      <c r="J17" s="816"/>
      <c r="K17" s="641"/>
      <c r="L17" s="641"/>
      <c r="M17" s="641"/>
      <c r="N17" s="641"/>
      <c r="O17" s="641"/>
      <c r="P17" s="640"/>
      <c r="R17" s="755"/>
      <c r="S17" s="757"/>
      <c r="T17" s="677"/>
      <c r="U17" s="757"/>
      <c r="V17" s="757"/>
      <c r="W17" s="757"/>
      <c r="X17" s="757"/>
      <c r="Y17" s="757"/>
      <c r="Z17" s="757"/>
      <c r="AA17" s="757"/>
      <c r="AB17" s="757"/>
      <c r="AC17" s="757"/>
      <c r="AD17" s="757"/>
      <c r="AE17" s="757"/>
      <c r="AF17" s="757"/>
      <c r="AG17" s="757"/>
      <c r="AH17" s="757"/>
      <c r="AI17" s="757"/>
      <c r="AJ17" s="757"/>
      <c r="AK17" s="757"/>
      <c r="AL17" s="757"/>
      <c r="AM17" s="757"/>
    </row>
    <row r="18" spans="1:39" ht="19" thickBot="1">
      <c r="A18" s="755"/>
      <c r="B18" s="757"/>
      <c r="C18" s="765"/>
      <c r="D18" s="717" t="s">
        <v>1697</v>
      </c>
      <c r="E18" s="718">
        <f>IFERROR(E12*Einmalkosten!G32,0)</f>
        <v>186640</v>
      </c>
      <c r="F18" s="761"/>
      <c r="G18" s="761"/>
      <c r="H18" s="779"/>
      <c r="I18" s="761"/>
      <c r="J18" s="817"/>
      <c r="K18" s="352"/>
      <c r="L18" s="719">
        <f>IFERROR(SUM(L20,L22),0)</f>
        <v>0</v>
      </c>
      <c r="M18" s="720" t="s">
        <v>330</v>
      </c>
      <c r="N18" s="53"/>
      <c r="O18" s="53"/>
      <c r="P18" s="640"/>
      <c r="R18" s="788"/>
      <c r="S18" s="768"/>
      <c r="T18" s="781"/>
      <c r="U18" s="781"/>
      <c r="V18" s="757"/>
      <c r="W18" s="761"/>
      <c r="X18" s="761"/>
      <c r="Y18" s="761"/>
      <c r="Z18" s="757"/>
      <c r="AA18" s="649"/>
      <c r="AB18" s="649"/>
      <c r="AC18" s="649"/>
      <c r="AD18" s="649"/>
      <c r="AE18" s="649"/>
      <c r="AF18" s="757"/>
      <c r="AG18" s="757"/>
      <c r="AH18" s="757"/>
      <c r="AI18" s="757"/>
      <c r="AJ18" s="757"/>
      <c r="AK18" s="757"/>
      <c r="AL18" s="757"/>
      <c r="AM18" s="757"/>
    </row>
    <row r="19" spans="1:39">
      <c r="A19" s="755"/>
      <c r="B19" s="757"/>
      <c r="C19" s="764"/>
      <c r="D19" s="8"/>
      <c r="E19" s="757"/>
      <c r="F19" s="760"/>
      <c r="G19" s="760"/>
      <c r="H19" s="780"/>
      <c r="I19" s="760"/>
      <c r="J19" s="816"/>
      <c r="K19" s="53"/>
      <c r="L19" s="641"/>
      <c r="M19" s="691"/>
      <c r="N19" s="53"/>
      <c r="O19" s="641"/>
      <c r="P19" s="640"/>
      <c r="R19" s="755"/>
      <c r="S19" s="757"/>
      <c r="T19" s="677"/>
      <c r="U19" s="757"/>
      <c r="V19" s="757"/>
      <c r="W19" s="757"/>
      <c r="X19" s="757"/>
      <c r="Y19" s="757"/>
      <c r="Z19" s="757"/>
      <c r="AA19" s="757"/>
      <c r="AB19" s="757"/>
      <c r="AC19" s="757"/>
      <c r="AD19" s="757"/>
      <c r="AE19" s="757"/>
      <c r="AF19" s="757"/>
      <c r="AG19" s="757"/>
      <c r="AH19" s="757"/>
      <c r="AI19" s="757"/>
      <c r="AJ19" s="757"/>
      <c r="AK19" s="757"/>
      <c r="AL19" s="757"/>
      <c r="AM19" s="757"/>
    </row>
    <row r="20" spans="1:39">
      <c r="A20" s="755"/>
      <c r="B20" s="757"/>
      <c r="C20" s="764"/>
      <c r="D20" s="974"/>
      <c r="E20" s="978"/>
      <c r="F20" s="761"/>
      <c r="G20" s="761"/>
      <c r="H20" s="779"/>
      <c r="I20" s="761"/>
      <c r="J20" s="816"/>
      <c r="K20" s="53"/>
      <c r="L20" s="648">
        <f>IFERROR(E12*'Transport+Installationskosten'!E11,0)</f>
        <v>0</v>
      </c>
      <c r="M20" s="602" t="s">
        <v>331</v>
      </c>
      <c r="N20" s="53"/>
      <c r="O20" s="641"/>
      <c r="P20" s="640"/>
      <c r="R20" s="789"/>
      <c r="S20" s="649"/>
      <c r="T20" s="763"/>
      <c r="U20" s="763"/>
      <c r="V20" s="757"/>
      <c r="W20" s="757"/>
      <c r="X20" s="757"/>
      <c r="Y20" s="757"/>
      <c r="Z20" s="757"/>
      <c r="AA20" s="757"/>
      <c r="AB20" s="757"/>
      <c r="AC20" s="757"/>
      <c r="AD20" s="757"/>
      <c r="AE20" s="757"/>
      <c r="AF20" s="757"/>
      <c r="AG20" s="757"/>
      <c r="AH20" s="757"/>
      <c r="AI20" s="757"/>
      <c r="AJ20" s="757"/>
      <c r="AK20" s="757"/>
      <c r="AL20" s="757"/>
      <c r="AM20" s="757"/>
    </row>
    <row r="21" spans="1:39">
      <c r="A21" s="755"/>
      <c r="B21" s="757"/>
      <c r="C21" s="764"/>
      <c r="D21" s="976"/>
      <c r="E21" s="979"/>
      <c r="F21" s="760"/>
      <c r="G21" s="760"/>
      <c r="H21" s="780"/>
      <c r="I21" s="760"/>
      <c r="J21" s="816"/>
      <c r="K21" s="53"/>
      <c r="L21" s="650"/>
      <c r="M21" s="691"/>
      <c r="N21" s="53"/>
      <c r="O21" s="641"/>
      <c r="P21" s="640"/>
      <c r="R21" s="755"/>
      <c r="S21" s="757"/>
      <c r="T21" s="677"/>
      <c r="U21" s="757"/>
      <c r="V21" s="757"/>
      <c r="W21" s="757"/>
      <c r="X21" s="757"/>
      <c r="Y21" s="757"/>
      <c r="Z21" s="757"/>
      <c r="AA21" s="757"/>
      <c r="AB21" s="757"/>
      <c r="AC21" s="757"/>
      <c r="AD21" s="757"/>
      <c r="AE21" s="757"/>
      <c r="AF21" s="757"/>
      <c r="AG21" s="757"/>
      <c r="AH21" s="757"/>
      <c r="AI21" s="757"/>
      <c r="AJ21" s="757"/>
      <c r="AK21" s="757"/>
      <c r="AL21" s="757"/>
      <c r="AM21" s="757"/>
    </row>
    <row r="22" spans="1:39">
      <c r="A22" s="755"/>
      <c r="B22" s="757"/>
      <c r="C22" s="764"/>
      <c r="D22" s="974"/>
      <c r="E22" s="978"/>
      <c r="F22" s="761"/>
      <c r="G22" s="761"/>
      <c r="H22" s="779"/>
      <c r="I22" s="761"/>
      <c r="J22" s="816"/>
      <c r="K22" s="53"/>
      <c r="L22" s="648">
        <f>IFERROR(E12*'Transport+Installationskosten'!E17,0)</f>
        <v>0</v>
      </c>
      <c r="M22" s="602" t="s">
        <v>332</v>
      </c>
      <c r="N22" s="53"/>
      <c r="O22" s="53"/>
      <c r="P22" s="640"/>
      <c r="R22" s="789"/>
      <c r="S22" s="649"/>
      <c r="T22" s="763"/>
      <c r="U22" s="763"/>
      <c r="V22" s="757"/>
      <c r="W22" s="754"/>
      <c r="X22" s="754"/>
      <c r="Y22" s="754"/>
      <c r="Z22" s="757"/>
      <c r="AA22" s="649"/>
      <c r="AB22" s="649"/>
      <c r="AC22" s="649"/>
      <c r="AD22" s="649"/>
      <c r="AE22" s="649"/>
      <c r="AF22" s="757"/>
      <c r="AG22" s="757"/>
      <c r="AH22" s="757"/>
      <c r="AI22" s="757"/>
      <c r="AJ22" s="757"/>
      <c r="AK22" s="757"/>
      <c r="AL22" s="757"/>
      <c r="AM22" s="757"/>
    </row>
    <row r="23" spans="1:39">
      <c r="A23" s="755"/>
      <c r="B23" s="757"/>
      <c r="C23" s="764"/>
      <c r="D23" s="976"/>
      <c r="E23" s="979"/>
      <c r="F23" s="760"/>
      <c r="G23" s="760"/>
      <c r="H23" s="780"/>
      <c r="I23" s="760"/>
      <c r="J23" s="816"/>
      <c r="K23" s="53"/>
      <c r="L23" s="53"/>
      <c r="M23" s="53"/>
      <c r="N23" s="53"/>
      <c r="O23" s="641"/>
      <c r="P23" s="640"/>
      <c r="R23" s="755"/>
      <c r="S23" s="757"/>
      <c r="T23" s="677"/>
      <c r="U23" s="757"/>
      <c r="V23" s="757"/>
      <c r="W23" s="757"/>
      <c r="X23" s="757"/>
      <c r="Y23" s="757"/>
      <c r="Z23" s="757"/>
      <c r="AA23" s="757"/>
      <c r="AB23" s="757"/>
      <c r="AC23" s="757"/>
      <c r="AD23" s="757"/>
      <c r="AE23" s="757"/>
      <c r="AF23" s="757"/>
      <c r="AG23" s="757"/>
      <c r="AH23" s="757"/>
      <c r="AI23" s="757"/>
      <c r="AJ23" s="757"/>
      <c r="AK23" s="757"/>
      <c r="AL23" s="757"/>
      <c r="AM23" s="757"/>
    </row>
    <row r="24" spans="1:39" ht="14.5" customHeight="1">
      <c r="A24" s="755"/>
      <c r="B24" s="757"/>
      <c r="C24" s="764"/>
      <c r="D24" s="764"/>
      <c r="E24" s="764"/>
      <c r="F24" s="764"/>
      <c r="G24" s="764"/>
      <c r="H24" s="777"/>
      <c r="I24" s="677"/>
      <c r="J24" s="815"/>
      <c r="K24" s="640"/>
      <c r="L24" s="640"/>
      <c r="M24" s="640"/>
      <c r="N24" s="640"/>
      <c r="O24" s="640"/>
      <c r="P24" s="640"/>
      <c r="R24" s="786"/>
      <c r="S24" s="677"/>
      <c r="T24" s="631"/>
      <c r="U24" s="790"/>
      <c r="V24" s="761"/>
      <c r="W24" s="757"/>
      <c r="X24" s="757"/>
      <c r="Y24" s="757"/>
      <c r="Z24" s="757"/>
      <c r="AA24" s="757"/>
      <c r="AB24" s="757"/>
      <c r="AC24" s="757"/>
      <c r="AD24" s="757"/>
      <c r="AE24" s="757"/>
      <c r="AF24" s="757"/>
      <c r="AG24" s="757"/>
      <c r="AH24" s="757"/>
      <c r="AI24" s="757"/>
      <c r="AJ24" s="757"/>
      <c r="AK24" s="757"/>
      <c r="AL24" s="757"/>
      <c r="AM24" s="757"/>
    </row>
    <row r="25" spans="1:39">
      <c r="A25" s="755"/>
      <c r="B25" s="757"/>
      <c r="I25" s="805"/>
      <c r="J25" s="766"/>
      <c r="K25" s="755"/>
      <c r="L25" s="755"/>
      <c r="M25" s="755"/>
      <c r="N25" s="755"/>
      <c r="O25" s="755"/>
      <c r="P25" s="755"/>
      <c r="Q25" s="755"/>
      <c r="R25" s="755"/>
      <c r="S25" s="757"/>
      <c r="T25" s="757"/>
      <c r="U25" s="757"/>
      <c r="V25" s="757"/>
      <c r="W25" s="757"/>
      <c r="X25" s="757"/>
      <c r="Y25" s="757"/>
      <c r="Z25" s="757"/>
      <c r="AA25" s="757"/>
      <c r="AB25" s="757"/>
      <c r="AC25" s="757"/>
      <c r="AD25" s="757"/>
      <c r="AE25" s="757"/>
      <c r="AF25" s="757"/>
      <c r="AG25" s="757"/>
      <c r="AH25" s="757"/>
      <c r="AI25" s="757"/>
      <c r="AJ25" s="757"/>
      <c r="AK25" s="757"/>
      <c r="AL25" s="757"/>
      <c r="AM25" s="757"/>
    </row>
    <row r="26" spans="1:39" ht="14.5" customHeight="1" thickBot="1">
      <c r="A26" s="755"/>
      <c r="B26" s="757"/>
      <c r="C26" s="811" t="s">
        <v>1696</v>
      </c>
      <c r="D26" s="814"/>
      <c r="E26" s="809"/>
      <c r="F26" s="809"/>
      <c r="G26" s="809"/>
      <c r="H26" s="782"/>
      <c r="I26" s="806"/>
      <c r="J26" s="818" t="s">
        <v>1700</v>
      </c>
      <c r="K26" s="767"/>
      <c r="L26" s="767"/>
      <c r="M26" s="767"/>
      <c r="N26" s="767"/>
      <c r="O26" s="767"/>
      <c r="P26" s="767"/>
      <c r="Q26" s="677"/>
      <c r="R26" s="677"/>
      <c r="S26" s="677"/>
      <c r="T26" s="677"/>
      <c r="U26" s="677"/>
      <c r="V26" s="677"/>
      <c r="W26" s="677"/>
      <c r="AK26" s="760"/>
      <c r="AL26" s="757"/>
      <c r="AM26" s="757"/>
    </row>
    <row r="27" spans="1:39" ht="24.5" customHeight="1" thickTop="1" thickBot="1">
      <c r="A27" s="755"/>
      <c r="B27" s="757"/>
      <c r="C27" s="812"/>
      <c r="D27" s="628"/>
      <c r="E27" s="628"/>
      <c r="F27" s="692" t="s">
        <v>1713</v>
      </c>
      <c r="G27" s="761"/>
      <c r="H27" s="764"/>
      <c r="I27" s="807"/>
      <c r="J27" s="819"/>
      <c r="K27" s="6"/>
      <c r="L27" s="6"/>
      <c r="M27" s="6"/>
      <c r="N27" s="6"/>
      <c r="O27" s="6"/>
      <c r="P27" s="767"/>
      <c r="Q27" s="677"/>
      <c r="R27" s="677"/>
      <c r="S27" s="677"/>
      <c r="T27" s="677"/>
      <c r="U27" s="677"/>
      <c r="V27" s="677"/>
      <c r="W27" s="677"/>
      <c r="AK27" s="677"/>
      <c r="AM27" s="757"/>
    </row>
    <row r="28" spans="1:39" ht="40" customHeight="1" thickBot="1">
      <c r="A28" s="755"/>
      <c r="B28" s="757"/>
      <c r="C28" s="812"/>
      <c r="D28" s="721" t="s">
        <v>1926</v>
      </c>
      <c r="E28" s="722">
        <f>IFERROR(SUM(E37,E35,E33),0)</f>
        <v>61566.498095999996</v>
      </c>
      <c r="F28" s="723">
        <f>IFERROR(SUM(F37,F35,F33),0)</f>
        <v>68917.889516879368</v>
      </c>
      <c r="G28" s="688"/>
      <c r="H28" s="764"/>
      <c r="I28" s="807"/>
      <c r="J28" s="819"/>
      <c r="K28" s="53"/>
      <c r="L28" s="717" t="s">
        <v>1716</v>
      </c>
      <c r="M28" s="773">
        <v>195</v>
      </c>
      <c r="N28" s="720" t="s">
        <v>1781</v>
      </c>
      <c r="O28" s="751" t="s">
        <v>1715</v>
      </c>
      <c r="P28" s="767"/>
      <c r="Q28" s="677"/>
      <c r="R28" s="677"/>
      <c r="S28" s="677"/>
      <c r="T28" s="677"/>
      <c r="U28" s="677"/>
      <c r="V28" s="677"/>
      <c r="W28" s="677"/>
      <c r="AK28" s="677"/>
      <c r="AM28" s="757"/>
    </row>
    <row r="29" spans="1:39" ht="14.5" customHeight="1">
      <c r="A29" s="755"/>
      <c r="B29" s="757"/>
      <c r="C29" s="812"/>
      <c r="D29" s="8"/>
      <c r="E29" s="658"/>
      <c r="F29" s="658"/>
      <c r="G29" s="761"/>
      <c r="H29" s="764"/>
      <c r="I29" s="807"/>
      <c r="J29" s="819"/>
      <c r="K29" s="53"/>
      <c r="L29" s="631"/>
      <c r="M29" s="9"/>
      <c r="N29" s="688"/>
      <c r="O29" s="655"/>
      <c r="P29" s="767"/>
      <c r="Q29" s="677"/>
      <c r="R29" s="677"/>
      <c r="S29" s="677"/>
      <c r="T29" s="677"/>
      <c r="U29" s="677"/>
      <c r="V29" s="677"/>
      <c r="W29" s="677"/>
      <c r="AK29" s="677"/>
      <c r="AM29" s="757"/>
    </row>
    <row r="30" spans="1:39" ht="40" customHeight="1" thickBot="1">
      <c r="A30" s="755"/>
      <c r="B30" s="757"/>
      <c r="C30" s="812"/>
      <c r="D30" s="638" t="s">
        <v>1699</v>
      </c>
      <c r="E30" s="660">
        <f>IFERROR(E28/Nutzung!C8,0)</f>
        <v>6156.6498095999996</v>
      </c>
      <c r="F30" s="656">
        <f>IFERROR(F28/Nutzung!C8,0)</f>
        <v>6891.7889516879368</v>
      </c>
      <c r="G30" s="688"/>
      <c r="H30" s="764"/>
      <c r="I30" s="807"/>
      <c r="J30" s="819"/>
      <c r="K30" s="6"/>
      <c r="L30" s="655" t="s">
        <v>333</v>
      </c>
      <c r="M30" s="688" t="s">
        <v>334</v>
      </c>
      <c r="N30" s="725" t="s">
        <v>1711</v>
      </c>
      <c r="O30" s="632"/>
      <c r="P30" s="767"/>
      <c r="Q30" s="677"/>
      <c r="R30" s="677"/>
      <c r="S30" s="677"/>
      <c r="T30" s="677"/>
      <c r="U30" s="677"/>
      <c r="V30" s="677"/>
      <c r="W30" s="677"/>
      <c r="AK30" s="677"/>
      <c r="AM30" s="757"/>
    </row>
    <row r="31" spans="1:39" ht="20" customHeight="1" thickBot="1">
      <c r="A31" s="755"/>
      <c r="B31" s="757"/>
      <c r="C31" s="812"/>
      <c r="D31" s="631"/>
      <c r="E31" s="686"/>
      <c r="F31" s="687"/>
      <c r="G31" s="761"/>
      <c r="H31" s="764"/>
      <c r="I31" s="807"/>
      <c r="J31" s="819"/>
      <c r="K31" s="662" t="s">
        <v>336</v>
      </c>
      <c r="L31" s="677" t="s">
        <v>337</v>
      </c>
      <c r="M31" s="690">
        <f>SUM(M33:M35)</f>
        <v>160254.02077831997</v>
      </c>
      <c r="N31" s="724">
        <f>M31*($M$28/1000)</f>
        <v>31249.534051772396</v>
      </c>
      <c r="O31" s="683"/>
      <c r="P31" s="767"/>
      <c r="Q31" s="677"/>
      <c r="R31" s="677"/>
      <c r="S31" s="677"/>
      <c r="T31" s="677"/>
      <c r="U31" s="677"/>
      <c r="V31" s="677"/>
      <c r="W31" s="677"/>
      <c r="AK31" s="677"/>
      <c r="AM31" s="757"/>
    </row>
    <row r="32" spans="1:39" ht="24.5" customHeight="1">
      <c r="A32" s="755"/>
      <c r="B32" s="757"/>
      <c r="C32" s="812"/>
      <c r="D32" s="750" t="s">
        <v>1925</v>
      </c>
      <c r="E32" s="699"/>
      <c r="F32" s="700" t="s">
        <v>1713</v>
      </c>
      <c r="G32" s="688"/>
      <c r="H32" s="764"/>
      <c r="I32" s="807"/>
      <c r="J32" s="819"/>
      <c r="K32" s="678" t="s">
        <v>338</v>
      </c>
      <c r="L32" s="679" t="s">
        <v>339</v>
      </c>
      <c r="M32" s="689">
        <f>IFERROR(M31/E11,0)</f>
        <v>16025.402077831997</v>
      </c>
      <c r="N32" s="680">
        <f>M32*($M$28/1000)</f>
        <v>3124.9534051772398</v>
      </c>
      <c r="O32" s="683"/>
      <c r="P32" s="767"/>
      <c r="Q32" s="677"/>
      <c r="R32" s="677"/>
      <c r="S32" s="677"/>
      <c r="T32" s="677"/>
      <c r="U32" s="677"/>
      <c r="V32" s="677"/>
      <c r="W32" s="677"/>
      <c r="AK32" s="677"/>
      <c r="AM32" s="757"/>
    </row>
    <row r="33" spans="1:39" ht="14.5" customHeight="1">
      <c r="A33" s="755"/>
      <c r="B33" s="757"/>
      <c r="C33" s="812"/>
      <c r="D33" s="631" t="s">
        <v>1702</v>
      </c>
      <c r="E33" s="660">
        <f>IFERROR('Laufende Kosten'!H11*E12,0)</f>
        <v>10356.498096000003</v>
      </c>
      <c r="F33" s="644">
        <f>IFERROR(Investitionsrechnung!D14*E12,0)</f>
        <v>11593.12310485745</v>
      </c>
      <c r="G33" s="757"/>
      <c r="H33" s="764"/>
      <c r="I33" s="807"/>
      <c r="J33" s="819"/>
      <c r="K33" s="6">
        <v>1</v>
      </c>
      <c r="L33" s="6" t="s">
        <v>340</v>
      </c>
      <c r="M33" s="681">
        <f>M38</f>
        <v>143353.99399999998</v>
      </c>
      <c r="N33" s="674">
        <f>M33*($M$28/1000)</f>
        <v>27954.028829999996</v>
      </c>
      <c r="O33" s="684"/>
      <c r="P33" s="767"/>
      <c r="Q33" s="677"/>
      <c r="R33" s="769"/>
      <c r="S33" s="677"/>
      <c r="T33" s="677"/>
      <c r="U33" s="677"/>
      <c r="V33" s="677"/>
      <c r="W33" s="677"/>
      <c r="AK33" s="677"/>
      <c r="AM33" s="757"/>
    </row>
    <row r="34" spans="1:39" ht="14.5" customHeight="1">
      <c r="A34" s="755"/>
      <c r="B34" s="757"/>
      <c r="C34" s="812"/>
      <c r="D34" s="650"/>
      <c r="E34" s="646"/>
      <c r="F34" s="645"/>
      <c r="G34" s="688"/>
      <c r="H34" s="764"/>
      <c r="I34" s="807"/>
      <c r="J34" s="819"/>
      <c r="K34" s="6">
        <v>2</v>
      </c>
      <c r="L34" s="6" t="s">
        <v>342</v>
      </c>
      <c r="M34" s="681">
        <f>(M40+M41)</f>
        <v>0</v>
      </c>
      <c r="N34" s="675">
        <f>M34*($M$28/1000)</f>
        <v>0</v>
      </c>
      <c r="O34" s="676"/>
      <c r="P34" s="767"/>
      <c r="Q34" s="677"/>
      <c r="R34" s="677"/>
      <c r="S34" s="677"/>
      <c r="T34" s="677"/>
      <c r="U34" s="677"/>
      <c r="V34" s="677"/>
      <c r="W34" s="677"/>
      <c r="AK34" s="677"/>
      <c r="AM34" s="757"/>
    </row>
    <row r="35" spans="1:39" ht="14.5" customHeight="1">
      <c r="A35" s="755"/>
      <c r="B35" s="757"/>
      <c r="C35" s="812"/>
      <c r="D35" s="669" t="s">
        <v>341</v>
      </c>
      <c r="E35" s="660">
        <f>IFERROR(E12*'Laufende Kosten'!H47,0)</f>
        <v>0</v>
      </c>
      <c r="F35" s="667">
        <f>IFERROR(Investitionsrechnung!D15*E12,0)</f>
        <v>0</v>
      </c>
      <c r="G35" s="761"/>
      <c r="H35" s="764"/>
      <c r="I35" s="807"/>
      <c r="J35" s="819"/>
      <c r="K35" s="6">
        <v>3</v>
      </c>
      <c r="L35" s="6" t="s">
        <v>343</v>
      </c>
      <c r="M35" s="681">
        <f>(M42+M43)</f>
        <v>16900.02677832</v>
      </c>
      <c r="N35" s="675">
        <f>M35*($M$28/1000)</f>
        <v>3295.5052217724001</v>
      </c>
      <c r="O35" s="676"/>
      <c r="P35" s="767"/>
      <c r="Q35" s="677"/>
      <c r="R35" s="677"/>
      <c r="S35" s="677"/>
      <c r="T35" s="677"/>
      <c r="U35" s="677"/>
      <c r="V35" s="677"/>
      <c r="W35" s="677"/>
      <c r="AK35" s="677"/>
      <c r="AM35" s="757"/>
    </row>
    <row r="36" spans="1:39" ht="14.5" customHeight="1">
      <c r="A36" s="755"/>
      <c r="B36" s="757"/>
      <c r="C36" s="812"/>
      <c r="D36" s="629"/>
      <c r="E36" s="646"/>
      <c r="F36" s="668"/>
      <c r="G36" s="688"/>
      <c r="H36" s="764"/>
      <c r="I36" s="807"/>
      <c r="J36" s="819"/>
      <c r="K36" s="6"/>
      <c r="L36" s="6"/>
      <c r="M36" s="670"/>
      <c r="N36" s="6"/>
      <c r="O36" s="6"/>
      <c r="P36" s="767"/>
      <c r="Q36" s="677"/>
      <c r="R36" s="677"/>
      <c r="S36" s="677"/>
      <c r="T36" s="677"/>
      <c r="U36" s="677"/>
      <c r="V36" s="677"/>
      <c r="W36" s="677"/>
      <c r="AK36" s="677"/>
      <c r="AM36" s="757"/>
    </row>
    <row r="37" spans="1:39" ht="14.5" customHeight="1">
      <c r="A37" s="755"/>
      <c r="B37" s="757"/>
      <c r="C37" s="812"/>
      <c r="D37" s="669" t="s">
        <v>335</v>
      </c>
      <c r="E37" s="660">
        <f>IFERROR(E12*'Laufende Kosten'!H62,0)</f>
        <v>51209.999999999993</v>
      </c>
      <c r="F37" s="644">
        <f>IFERROR(Investitionsrechnung!D16*E12,0)</f>
        <v>57324.766412021912</v>
      </c>
      <c r="G37" s="757"/>
      <c r="H37" s="764"/>
      <c r="I37" s="807"/>
      <c r="J37" s="819"/>
      <c r="K37" s="6"/>
      <c r="L37" s="643" t="s">
        <v>1703</v>
      </c>
      <c r="M37" s="753" t="s">
        <v>334</v>
      </c>
      <c r="N37" s="6"/>
      <c r="O37" s="6"/>
      <c r="P37" s="767"/>
      <c r="Q37" s="677"/>
      <c r="R37" s="677"/>
      <c r="S37" s="677"/>
      <c r="T37" s="677"/>
      <c r="U37" s="677"/>
      <c r="V37" s="677"/>
      <c r="W37" s="677"/>
      <c r="AK37" s="677"/>
      <c r="AM37" s="757"/>
    </row>
    <row r="38" spans="1:39" ht="14.5" customHeight="1">
      <c r="A38" s="755"/>
      <c r="B38" s="757"/>
      <c r="C38" s="812"/>
      <c r="D38" s="757"/>
      <c r="E38" s="757"/>
      <c r="F38" s="757"/>
      <c r="G38" s="757"/>
      <c r="H38" s="764"/>
      <c r="I38" s="807"/>
      <c r="J38" s="819"/>
      <c r="K38" s="662" t="s">
        <v>344</v>
      </c>
      <c r="L38" s="6" t="s">
        <v>1773</v>
      </c>
      <c r="M38" s="681">
        <f>Produktion!C8*E12</f>
        <v>143353.99399999998</v>
      </c>
      <c r="N38" s="6"/>
      <c r="O38" s="6"/>
      <c r="P38" s="767"/>
      <c r="Q38" s="677"/>
      <c r="R38" s="677"/>
      <c r="S38" s="9"/>
      <c r="T38" s="677"/>
      <c r="U38" s="677"/>
      <c r="V38" s="677"/>
      <c r="W38" s="677"/>
      <c r="AK38" s="677"/>
      <c r="AM38" s="757"/>
    </row>
    <row r="39" spans="1:39" ht="14.5" customHeight="1">
      <c r="A39" s="755"/>
      <c r="B39" s="757"/>
      <c r="C39" s="812"/>
      <c r="D39" s="757"/>
      <c r="E39" s="757"/>
      <c r="F39" s="757"/>
      <c r="G39" s="757"/>
      <c r="H39" s="764"/>
      <c r="I39" s="807"/>
      <c r="J39" s="819"/>
      <c r="K39" s="665" t="s">
        <v>345</v>
      </c>
      <c r="L39" s="38" t="s">
        <v>1774</v>
      </c>
      <c r="M39" s="682">
        <f>Produktion!D8*E12</f>
        <v>0</v>
      </c>
      <c r="N39" s="6"/>
      <c r="O39" s="6"/>
      <c r="P39" s="767"/>
      <c r="Q39" s="677"/>
      <c r="R39" s="677"/>
      <c r="S39" s="10"/>
      <c r="T39" s="677"/>
      <c r="U39" s="677"/>
      <c r="V39" s="677"/>
      <c r="W39" s="677"/>
      <c r="AK39" s="677"/>
      <c r="AM39" s="757"/>
    </row>
    <row r="40" spans="1:39" ht="14.5" customHeight="1">
      <c r="A40" s="755"/>
      <c r="B40" s="757"/>
      <c r="C40" s="812"/>
      <c r="D40" s="757"/>
      <c r="E40" s="757"/>
      <c r="F40" s="757"/>
      <c r="G40" s="757"/>
      <c r="H40" s="764"/>
      <c r="I40" s="807"/>
      <c r="J40" s="819"/>
      <c r="K40" s="662" t="s">
        <v>347</v>
      </c>
      <c r="L40" s="6" t="s">
        <v>1779</v>
      </c>
      <c r="M40" s="681">
        <f>SUM('Transport + Installation'!P14:P20)*E12</f>
        <v>0</v>
      </c>
      <c r="N40" s="6"/>
      <c r="O40" s="6"/>
      <c r="P40" s="767"/>
      <c r="Q40" s="677"/>
      <c r="R40" s="677"/>
      <c r="S40" s="677"/>
      <c r="T40" s="677"/>
      <c r="U40" s="677"/>
      <c r="V40" s="677"/>
      <c r="W40" s="677"/>
      <c r="AK40" s="677"/>
      <c r="AM40" s="757"/>
    </row>
    <row r="41" spans="1:39" ht="14.5" customHeight="1">
      <c r="A41" s="755"/>
      <c r="B41" s="757"/>
      <c r="C41" s="812"/>
      <c r="D41" s="757"/>
      <c r="E41" s="757"/>
      <c r="F41" s="757"/>
      <c r="G41" s="757"/>
      <c r="H41" s="764"/>
      <c r="I41" s="807"/>
      <c r="J41" s="819"/>
      <c r="K41" s="665" t="s">
        <v>348</v>
      </c>
      <c r="L41" s="38" t="s">
        <v>1778</v>
      </c>
      <c r="M41" s="682">
        <f>SUM('Transport + Installation'!P24:P30)*E12</f>
        <v>0</v>
      </c>
      <c r="N41" s="6"/>
      <c r="O41" s="6"/>
      <c r="P41" s="767"/>
      <c r="Q41" s="677"/>
      <c r="R41" s="677"/>
      <c r="S41" s="677"/>
      <c r="T41" s="677"/>
      <c r="U41" s="677"/>
      <c r="V41" s="677"/>
      <c r="W41" s="677"/>
      <c r="AK41" s="677"/>
      <c r="AM41" s="757"/>
    </row>
    <row r="42" spans="1:39" ht="14.5" customHeight="1">
      <c r="A42" s="755"/>
      <c r="B42" s="757"/>
      <c r="C42" s="812"/>
      <c r="D42" s="757"/>
      <c r="E42" s="757"/>
      <c r="F42" s="757"/>
      <c r="G42" s="757"/>
      <c r="H42" s="764"/>
      <c r="I42" s="807"/>
      <c r="J42" s="819"/>
      <c r="K42" s="662" t="s">
        <v>349</v>
      </c>
      <c r="L42" s="6" t="s">
        <v>350</v>
      </c>
      <c r="M42" s="681">
        <f>SUM(Nutzung!I25:I32)*E12</f>
        <v>0</v>
      </c>
      <c r="N42" s="6"/>
      <c r="O42" s="6"/>
      <c r="P42" s="767"/>
      <c r="Q42" s="677"/>
      <c r="R42" s="677"/>
      <c r="S42" s="677"/>
      <c r="T42" s="677"/>
      <c r="U42" s="677"/>
      <c r="V42" s="677"/>
      <c r="W42" s="677"/>
      <c r="AK42" s="677"/>
      <c r="AM42" s="757"/>
    </row>
    <row r="43" spans="1:39" ht="14.5" customHeight="1">
      <c r="A43" s="755"/>
      <c r="B43" s="757"/>
      <c r="C43" s="812"/>
      <c r="D43" s="757"/>
      <c r="E43" s="757"/>
      <c r="F43" s="757"/>
      <c r="G43" s="757"/>
      <c r="H43" s="764"/>
      <c r="I43" s="807"/>
      <c r="J43" s="819"/>
      <c r="K43" s="662" t="s">
        <v>351</v>
      </c>
      <c r="L43" s="6" t="s">
        <v>1780</v>
      </c>
      <c r="M43" s="681">
        <f>SUM(Nutzung!I18:I20)*E12</f>
        <v>16900.02677832</v>
      </c>
      <c r="N43" s="6"/>
      <c r="O43" s="6"/>
      <c r="P43" s="767"/>
      <c r="Q43" s="677"/>
      <c r="R43" s="677"/>
      <c r="S43" s="677"/>
      <c r="T43" s="677"/>
      <c r="U43" s="677"/>
      <c r="V43" s="677"/>
      <c r="W43" s="677"/>
      <c r="AK43" s="677"/>
      <c r="AM43" s="757"/>
    </row>
    <row r="44" spans="1:39" ht="15" thickBot="1">
      <c r="A44" s="755"/>
      <c r="B44" s="757"/>
      <c r="C44" s="812"/>
      <c r="D44" s="757"/>
      <c r="E44" s="757"/>
      <c r="F44" s="757"/>
      <c r="G44" s="757"/>
      <c r="H44" s="764"/>
      <c r="I44" s="807"/>
      <c r="J44" s="819"/>
      <c r="K44" s="662"/>
      <c r="L44" s="6"/>
      <c r="M44" s="663"/>
      <c r="N44" s="6"/>
      <c r="O44" s="6"/>
      <c r="P44" s="767"/>
      <c r="Q44" s="677"/>
      <c r="R44" s="677"/>
      <c r="S44" s="677"/>
      <c r="T44" s="677"/>
      <c r="U44" s="677"/>
      <c r="V44" s="677"/>
      <c r="W44" s="677"/>
      <c r="AK44" s="677"/>
      <c r="AM44" s="757"/>
    </row>
    <row r="45" spans="1:39" ht="14.5" customHeight="1" thickTop="1" thickBot="1">
      <c r="A45" s="755"/>
      <c r="B45" s="757"/>
      <c r="C45" s="813"/>
      <c r="D45" s="810"/>
      <c r="E45" s="810"/>
      <c r="F45" s="810"/>
      <c r="G45" s="810"/>
      <c r="H45" s="809"/>
      <c r="I45" s="807"/>
      <c r="J45" s="820"/>
      <c r="K45" s="770"/>
      <c r="L45" s="770"/>
      <c r="M45" s="770"/>
      <c r="N45" s="770"/>
      <c r="O45" s="770"/>
      <c r="P45" s="770"/>
      <c r="Q45" s="760"/>
      <c r="R45" s="760"/>
      <c r="S45" s="783"/>
      <c r="T45" s="760"/>
      <c r="U45" s="760"/>
      <c r="V45" s="760"/>
      <c r="W45" s="760"/>
      <c r="AK45" s="760"/>
      <c r="AM45" s="757"/>
    </row>
    <row r="46" spans="1:39" ht="15" thickTop="1">
      <c r="A46" s="755"/>
      <c r="B46" s="757"/>
      <c r="I46" s="807"/>
      <c r="V46" s="757"/>
      <c r="W46" s="757"/>
      <c r="X46" s="757"/>
      <c r="Y46" s="757"/>
      <c r="Z46" s="757"/>
      <c r="AA46" s="757"/>
      <c r="AB46" s="757"/>
      <c r="AC46" s="757"/>
      <c r="AD46" s="757"/>
      <c r="AE46" s="771"/>
      <c r="AF46" s="757"/>
      <c r="AG46" s="757"/>
      <c r="AH46" s="757"/>
      <c r="AI46" s="757"/>
      <c r="AJ46" s="757"/>
      <c r="AM46" s="757"/>
    </row>
    <row r="47" spans="1:39" ht="14.5" customHeight="1">
      <c r="A47" s="755"/>
      <c r="B47" s="755"/>
      <c r="C47" s="755"/>
      <c r="D47" s="755"/>
      <c r="E47" s="755"/>
      <c r="F47" s="755"/>
      <c r="G47" s="755"/>
      <c r="H47" s="755"/>
      <c r="I47" s="80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757"/>
      <c r="AM47" s="757"/>
    </row>
  </sheetData>
  <hyperlinks>
    <hyperlink ref="F3" location="'Aufbau LCC-CO2-Tool'!A1" display="zurück zur Übersicht" xr:uid="{C8513613-82BD-4A67-9C40-EF6053239DFA}"/>
    <hyperlink ref="F4" location="'Anleitung für Beschaffende'!A19" display="zurück zur Anleitung für Beschaffende " xr:uid="{5A5BAE2C-537E-468A-9AD5-02978B384F3D}"/>
    <hyperlink ref="F5" location="'Anleitung für Bietende'!A17" display="zurück zur Anleitung für Bietende" xr:uid="{BD4DA79F-0121-45CE-9A9A-EF667230D155}"/>
  </hyperlinks>
  <pageMargins left="0.70866141732283472" right="0.70866141732283472" top="0.74803149606299213" bottom="0.74803149606299213" header="0.31496062992125984" footer="0.31496062992125984"/>
  <pageSetup paperSize="9" scale="52" orientation="landscape" horizontalDpi="1200" verticalDpi="1200" r:id="rId1"/>
  <headerFooter>
    <oddHeader>&amp;C&amp;14&amp;KFF0000TESTVERSION!</oddHeader>
    <oddFooter>&amp;L&amp;8LCC-CO2-Tool - Arbeitshilfe des Umweltbundesamtes&amp;C&amp;8 Ergebnis LCC-Kosten mit separater Ausweisung CO2-Kosten&amp;R&amp;8&amp;P</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tabColor rgb="FFF1A0BD"/>
  </sheetPr>
  <dimension ref="B1:O32"/>
  <sheetViews>
    <sheetView showGridLines="0" topLeftCell="A2" zoomScale="85" zoomScaleNormal="85" workbookViewId="0"/>
  </sheetViews>
  <sheetFormatPr baseColWidth="10" defaultColWidth="8" defaultRowHeight="14.5"/>
  <cols>
    <col min="1" max="1" width="3.4140625" style="7" customWidth="1"/>
    <col min="2" max="2" width="27.08203125" style="7" customWidth="1"/>
    <col min="3" max="3" width="19.58203125" style="7" customWidth="1"/>
    <col min="4" max="4" width="20.5" style="7" customWidth="1"/>
    <col min="5" max="5" width="11.9140625" style="7" bestFit="1" customWidth="1"/>
    <col min="6" max="6" width="5.83203125" style="7" customWidth="1"/>
    <col min="7" max="7" width="28.58203125" style="7" customWidth="1"/>
    <col min="8" max="8" width="19.5" style="7" customWidth="1"/>
    <col min="9" max="9" width="10.6640625" style="7" customWidth="1"/>
    <col min="10" max="10" width="12.08203125" style="7" customWidth="1"/>
    <col min="11" max="11" width="11.58203125" style="7" customWidth="1"/>
    <col min="12" max="12" width="17.6640625" style="7" customWidth="1"/>
    <col min="13" max="13" width="15.5" style="7" customWidth="1"/>
    <col min="14" max="14" width="11.58203125" style="7" customWidth="1"/>
    <col min="15" max="15" width="20.58203125" style="7" customWidth="1"/>
    <col min="16" max="16" width="16.08203125" style="7" customWidth="1"/>
    <col min="17" max="17" width="8.58203125" style="7" customWidth="1"/>
    <col min="18" max="18" width="8" style="7" customWidth="1"/>
    <col min="19" max="19" width="11.08203125" style="7" customWidth="1"/>
    <col min="20" max="20" width="14.75" style="7" customWidth="1"/>
    <col min="21" max="21" width="11.58203125" style="7" customWidth="1"/>
    <col min="22" max="22" width="8" style="7" customWidth="1"/>
    <col min="23" max="16384" width="8" style="7"/>
  </cols>
  <sheetData>
    <row r="1" spans="2:15" ht="18" customHeight="1"/>
    <row r="2" spans="2:15" ht="70.5" customHeight="1">
      <c r="B2" s="1014" t="s">
        <v>352</v>
      </c>
      <c r="C2" s="1014"/>
      <c r="D2" s="1014"/>
      <c r="E2" s="1014"/>
      <c r="F2" s="1014"/>
      <c r="G2" s="1014"/>
      <c r="H2" s="1014"/>
    </row>
    <row r="3" spans="2:15" ht="14.9" customHeight="1">
      <c r="B3" s="14"/>
      <c r="C3" s="14"/>
      <c r="D3" s="14"/>
    </row>
    <row r="4" spans="2:15" ht="14.9" customHeight="1">
      <c r="B4" s="15"/>
      <c r="C4" s="863" t="s">
        <v>353</v>
      </c>
      <c r="D4" s="21" t="s">
        <v>1782</v>
      </c>
    </row>
    <row r="5" spans="2:15" ht="37">
      <c r="B5" s="864" t="s">
        <v>1784</v>
      </c>
      <c r="C5" s="942">
        <f>IFERROR(IF(C11=0,'THG-Emissionen ohne Zertifikat'!F8,'THG-Emissionen mit Zertifikat'!E8),0)</f>
        <v>100</v>
      </c>
      <c r="D5" s="857" t="str">
        <f>IFERROR(IF(C11=0,'THG-Emissionen ohne Zertifikat'!F7,'THG-Emissionen mit Zertifikat'!E7),"")</f>
        <v>Arbeitsplatzcomputer, Variante Notebook 3 Jahre</v>
      </c>
      <c r="G5" s="996" t="s">
        <v>1886</v>
      </c>
    </row>
    <row r="6" spans="2:15" ht="14.9" customHeight="1">
      <c r="B6" s="14"/>
      <c r="C6" s="14"/>
      <c r="D6" s="14"/>
      <c r="G6" s="996" t="s">
        <v>1887</v>
      </c>
    </row>
    <row r="7" spans="2:15" ht="14.9" customHeight="1">
      <c r="B7" s="19"/>
      <c r="C7" s="21" t="s">
        <v>334</v>
      </c>
      <c r="D7" s="21" t="s">
        <v>354</v>
      </c>
      <c r="G7" s="996" t="s">
        <v>1888</v>
      </c>
    </row>
    <row r="8" spans="2:15" ht="37">
      <c r="B8" s="44" t="s">
        <v>1783</v>
      </c>
      <c r="C8" s="940">
        <f>IFERROR(IF(C11=1,E16,L31),0)</f>
        <v>1433.5399399999999</v>
      </c>
      <c r="D8" s="942">
        <f>IFERROR(IF(C11=1,E17,SUM(N16:N32)),0)</f>
        <v>0</v>
      </c>
      <c r="E8" s="735"/>
    </row>
    <row r="9" spans="2:15" ht="14.9" customHeight="1">
      <c r="B9" s="22"/>
    </row>
    <row r="10" spans="2:15" ht="14.9" customHeight="1">
      <c r="B10" s="15"/>
      <c r="C10" s="17" t="s">
        <v>355</v>
      </c>
    </row>
    <row r="11" spans="2:15" ht="14.9" customHeight="1">
      <c r="B11" s="18" t="s">
        <v>356</v>
      </c>
      <c r="C11" s="168">
        <f>IFERROR(IF('THG-Emissionen mit Zertifikat'!E15="",0,1),0)</f>
        <v>0</v>
      </c>
    </row>
    <row r="12" spans="2:15">
      <c r="B12" s="14"/>
      <c r="C12" s="14"/>
      <c r="D12" s="14"/>
    </row>
    <row r="13" spans="2:15">
      <c r="B13" s="199" t="s">
        <v>357</v>
      </c>
      <c r="C13" s="200"/>
      <c r="D13" s="200"/>
      <c r="E13" s="201"/>
      <c r="G13" s="199" t="s">
        <v>358</v>
      </c>
      <c r="H13" s="200"/>
      <c r="I13" s="200"/>
      <c r="J13" s="200"/>
      <c r="K13" s="200"/>
      <c r="L13" s="200"/>
      <c r="M13" s="200"/>
      <c r="N13" s="201"/>
      <c r="O13" s="735"/>
    </row>
    <row r="14" spans="2:15">
      <c r="B14" s="23"/>
      <c r="E14" s="24"/>
      <c r="G14" s="23"/>
      <c r="N14" s="24"/>
    </row>
    <row r="15" spans="2:15">
      <c r="B15" s="23"/>
      <c r="E15" s="25" t="s">
        <v>353</v>
      </c>
      <c r="G15" s="26" t="s">
        <v>359</v>
      </c>
      <c r="H15" s="198" t="s">
        <v>360</v>
      </c>
      <c r="I15" s="946" t="s">
        <v>361</v>
      </c>
      <c r="J15" s="602" t="s">
        <v>228</v>
      </c>
      <c r="K15" s="77" t="s">
        <v>362</v>
      </c>
      <c r="L15" s="77" t="s">
        <v>363</v>
      </c>
      <c r="M15" s="77" t="s">
        <v>364</v>
      </c>
      <c r="N15" s="120" t="s">
        <v>365</v>
      </c>
    </row>
    <row r="16" spans="2:15" ht="29">
      <c r="B16" s="23"/>
      <c r="C16" s="28" t="s">
        <v>366</v>
      </c>
      <c r="D16" s="27" t="s">
        <v>363</v>
      </c>
      <c r="E16" s="939">
        <f>IFERROR(IF(C11=1,('THG-Emissionen mit Zertifikat'!E15),('THG-Emissionen ohne Zertifikat'!F13*'THG-Emissionen ohne Zertifikat'!F15)),0)</f>
        <v>0</v>
      </c>
      <c r="G16" s="510" t="s">
        <v>307</v>
      </c>
      <c r="H16" s="159" t="str">
        <f>IFERROR('THG-Emissionen ohne Zertifikat'!E21,0)</f>
        <v>IT - Laptop, 512GB, 15"</v>
      </c>
      <c r="I16" s="603">
        <f>IFERROR('THG-Emissionen ohne Zertifikat'!G21,0)</f>
        <v>3.33</v>
      </c>
      <c r="J16" s="603" t="str">
        <f>IFERROR(VLOOKUP(H16,Emissionsfaktoren_Stoffe!$D$4:$L$704,9,FALSE),"")</f>
        <v/>
      </c>
      <c r="K16" s="943">
        <f>IFERROR(VLOOKUP(H16,Emissionsfaktoren_Stoffe!$C$4:$L$704,6,FALSE),0)</f>
        <v>263</v>
      </c>
      <c r="L16" s="945">
        <f>K16*I16</f>
        <v>875.79</v>
      </c>
      <c r="M16" s="943">
        <f>IFERROR(VLOOKUP(H16,Emissionsfaktoren_Stoffe!$C$4:$L$704,8,FALSE),0)</f>
        <v>0</v>
      </c>
      <c r="N16" s="944">
        <f>M16*I16</f>
        <v>0</v>
      </c>
    </row>
    <row r="17" spans="2:14">
      <c r="B17" s="23"/>
      <c r="C17" s="27" t="s">
        <v>346</v>
      </c>
      <c r="D17" s="27" t="s">
        <v>365</v>
      </c>
      <c r="E17" s="211">
        <f>IFERROR('THG-Emissionen mit Zertifikat'!E13*3.6,0)</f>
        <v>0</v>
      </c>
      <c r="G17" s="510" t="s">
        <v>308</v>
      </c>
      <c r="H17" s="159" t="str">
        <f>IFERROR('THG-Emissionen ohne Zertifikat'!E23,0)</f>
        <v>IT - Notebook Docking station</v>
      </c>
      <c r="I17" s="603">
        <f>IFERROR('THG-Emissionen ohne Zertifikat'!G23,0)</f>
        <v>1.67</v>
      </c>
      <c r="J17" s="603" t="str">
        <f>IFERROR(VLOOKUP(H17,Emissionsfaktoren_Stoffe!$D$4:$L$704,9,FALSE),"")</f>
        <v/>
      </c>
      <c r="K17" s="943">
        <f>IFERROR(VLOOKUP(H17,Emissionsfaktoren_Stoffe!$C$4:$L$704,6,FALSE),0)</f>
        <v>18.600000000000001</v>
      </c>
      <c r="L17" s="945">
        <f t="shared" ref="L17:L25" si="0">K17*I17</f>
        <v>31.062000000000001</v>
      </c>
      <c r="M17" s="943">
        <f>IFERROR(VLOOKUP(H17,Emissionsfaktoren_Stoffe!$C$4:$L$704,8,FALSE),0)</f>
        <v>0</v>
      </c>
      <c r="N17" s="944">
        <f t="shared" ref="N17:N25" si="1">M17*I17</f>
        <v>0</v>
      </c>
    </row>
    <row r="18" spans="2:14">
      <c r="B18" s="23"/>
      <c r="C18" s="27"/>
      <c r="D18" s="27" t="s">
        <v>367</v>
      </c>
      <c r="E18" s="24"/>
      <c r="G18" s="510" t="s">
        <v>311</v>
      </c>
      <c r="H18" s="159" t="str">
        <f>IFERROR('THG-Emissionen ohne Zertifikat'!E25,0)</f>
        <v>IT - Monitor, 22"</v>
      </c>
      <c r="I18" s="603">
        <f>IFERROR('THG-Emissionen ohne Zertifikat'!G25,0)</f>
        <v>1.67</v>
      </c>
      <c r="J18" s="603" t="str">
        <f>IFERROR(VLOOKUP(H18,Emissionsfaktoren_Stoffe!$D$4:$L$704,9,FALSE),"")</f>
        <v/>
      </c>
      <c r="K18" s="943">
        <f>IFERROR(VLOOKUP(H18,Emissionsfaktoren_Stoffe!$C$4:$L$704,6,FALSE),0)</f>
        <v>305.90199999999999</v>
      </c>
      <c r="L18" s="945">
        <f t="shared" si="0"/>
        <v>510.85633999999993</v>
      </c>
      <c r="M18" s="943">
        <f>IFERROR(VLOOKUP(H18,Emissionsfaktoren_Stoffe!$C$4:$L$704,8,FALSE),0)</f>
        <v>0</v>
      </c>
      <c r="N18" s="944">
        <f t="shared" si="1"/>
        <v>0</v>
      </c>
    </row>
    <row r="19" spans="2:14">
      <c r="B19" s="23"/>
      <c r="D19" s="6" t="s">
        <v>368</v>
      </c>
      <c r="E19" s="24"/>
      <c r="G19" s="510" t="s">
        <v>313</v>
      </c>
      <c r="H19" s="159" t="str">
        <f>IFERROR('THG-Emissionen ohne Zertifikat'!E27,0)</f>
        <v>IT - Tastatur, kabelgebunden</v>
      </c>
      <c r="I19" s="603">
        <f>IFERROR('THG-Emissionen ohne Zertifikat'!G27,0)</f>
        <v>1.67</v>
      </c>
      <c r="J19" s="603" t="str">
        <f>IFERROR(VLOOKUP(H19,Emissionsfaktoren_Stoffe!$D$4:$L$704,9,FALSE),"")</f>
        <v/>
      </c>
      <c r="K19" s="943">
        <f>IFERROR(VLOOKUP(H19,Emissionsfaktoren_Stoffe!$C$4:$L$704,6,FALSE),0)</f>
        <v>8.25</v>
      </c>
      <c r="L19" s="945">
        <f t="shared" si="0"/>
        <v>13.7775</v>
      </c>
      <c r="M19" s="943">
        <f>IFERROR(VLOOKUP(H19,Emissionsfaktoren_Stoffe!$C$4:$L$704,8,FALSE),0)</f>
        <v>0</v>
      </c>
      <c r="N19" s="944">
        <f t="shared" si="1"/>
        <v>0</v>
      </c>
    </row>
    <row r="20" spans="2:14">
      <c r="B20" s="23"/>
      <c r="D20" s="6" t="s">
        <v>369</v>
      </c>
      <c r="E20" s="24"/>
      <c r="G20" s="510" t="s">
        <v>315</v>
      </c>
      <c r="H20" s="159" t="str">
        <f>IFERROR('THG-Emissionen ohne Zertifikat'!E29,0)</f>
        <v>IT - Maus, kabelgebunden</v>
      </c>
      <c r="I20" s="603">
        <f>IFERROR('THG-Emissionen ohne Zertifikat'!G29,0)</f>
        <v>1.67</v>
      </c>
      <c r="J20" s="603" t="str">
        <f>IFERROR(VLOOKUP(H20,Emissionsfaktoren_Stoffe!$D$4:$L$704,9,FALSE),"")</f>
        <v/>
      </c>
      <c r="K20" s="943">
        <f>IFERROR(VLOOKUP(H20,Emissionsfaktoren_Stoffe!$C$4:$L$704,6,FALSE),0)</f>
        <v>1.23</v>
      </c>
      <c r="L20" s="945">
        <f t="shared" si="0"/>
        <v>2.0541</v>
      </c>
      <c r="M20" s="943">
        <f>IFERROR(VLOOKUP(H20,Emissionsfaktoren_Stoffe!$C$4:$L$704,8,FALSE),0)</f>
        <v>0</v>
      </c>
      <c r="N20" s="944">
        <f t="shared" si="1"/>
        <v>0</v>
      </c>
    </row>
    <row r="21" spans="2:14">
      <c r="B21" s="23"/>
      <c r="D21" s="6" t="s">
        <v>370</v>
      </c>
      <c r="E21" s="24"/>
      <c r="G21" s="510" t="s">
        <v>316</v>
      </c>
      <c r="H21" s="159" t="str">
        <f>IFERROR('THG-Emissionen ohne Zertifikat'!E31,0)</f>
        <v>[Bitte auswählen]</v>
      </c>
      <c r="I21" s="603">
        <f>IFERROR('THG-Emissionen ohne Zertifikat'!G31,0)</f>
        <v>0</v>
      </c>
      <c r="J21" s="603" t="str">
        <f>IFERROR(VLOOKUP(H21,Emissionsfaktoren_Stoffe!$D$4:$L$704,9,FALSE),"")</f>
        <v/>
      </c>
      <c r="K21" s="943">
        <f>IFERROR(VLOOKUP(H21,Emissionsfaktoren_Stoffe!$C$4:$L$704,6,FALSE),0)</f>
        <v>0</v>
      </c>
      <c r="L21" s="945">
        <f t="shared" si="0"/>
        <v>0</v>
      </c>
      <c r="M21" s="943">
        <f>IFERROR(VLOOKUP(H21,Emissionsfaktoren_Stoffe!$C$4:$L$704,8,FALSE),0)</f>
        <v>0</v>
      </c>
      <c r="N21" s="944">
        <f t="shared" si="1"/>
        <v>0</v>
      </c>
    </row>
    <row r="22" spans="2:14">
      <c r="B22" s="23"/>
      <c r="D22" s="6" t="s">
        <v>371</v>
      </c>
      <c r="E22" s="24"/>
      <c r="G22" s="510" t="s">
        <v>317</v>
      </c>
      <c r="H22" s="159" t="str">
        <f>IFERROR('THG-Emissionen ohne Zertifikat'!E33,0)</f>
        <v>[Bitte auswählen]</v>
      </c>
      <c r="I22" s="603">
        <f>IFERROR('THG-Emissionen ohne Zertifikat'!G33,0)</f>
        <v>0</v>
      </c>
      <c r="J22" s="603" t="str">
        <f>IFERROR(VLOOKUP(H22,Emissionsfaktoren_Stoffe!$D$4:$L$704,9,FALSE),"")</f>
        <v/>
      </c>
      <c r="K22" s="943">
        <f>IFERROR(VLOOKUP(H22,Emissionsfaktoren_Stoffe!$C$4:$L$704,6,FALSE),0)</f>
        <v>0</v>
      </c>
      <c r="L22" s="945">
        <f t="shared" si="0"/>
        <v>0</v>
      </c>
      <c r="M22" s="943">
        <f>IFERROR(VLOOKUP(H22,Emissionsfaktoren_Stoffe!$C$4:$L$704,8,FALSE),0)</f>
        <v>0</v>
      </c>
      <c r="N22" s="944">
        <f t="shared" si="1"/>
        <v>0</v>
      </c>
    </row>
    <row r="23" spans="2:14">
      <c r="B23" s="23"/>
      <c r="D23" s="27" t="s">
        <v>372</v>
      </c>
      <c r="E23" s="24"/>
      <c r="G23" s="510" t="s">
        <v>318</v>
      </c>
      <c r="H23" s="159" t="str">
        <f>IFERROR('THG-Emissionen ohne Zertifikat'!E35,0)</f>
        <v>[Bitte auswählen]</v>
      </c>
      <c r="I23" s="603">
        <f>IFERROR('THG-Emissionen ohne Zertifikat'!G35,0)</f>
        <v>0</v>
      </c>
      <c r="J23" s="603" t="str">
        <f>IFERROR(VLOOKUP(H23,Emissionsfaktoren_Stoffe!$D$4:$L$704,9,FALSE),"")</f>
        <v/>
      </c>
      <c r="K23" s="943">
        <f>IFERROR(VLOOKUP(H23,Emissionsfaktoren_Stoffe!$C$4:$L$704,6,FALSE),0)</f>
        <v>0</v>
      </c>
      <c r="L23" s="945">
        <f t="shared" si="0"/>
        <v>0</v>
      </c>
      <c r="M23" s="943">
        <f>IFERROR(VLOOKUP(H23,Emissionsfaktoren_Stoffe!$C$4:$L$704,8,FALSE),0)</f>
        <v>0</v>
      </c>
      <c r="N23" s="944">
        <f t="shared" si="1"/>
        <v>0</v>
      </c>
    </row>
    <row r="24" spans="2:14">
      <c r="B24" s="23"/>
      <c r="D24" s="7" t="s">
        <v>373</v>
      </c>
      <c r="E24" s="24"/>
      <c r="G24" s="510" t="s">
        <v>319</v>
      </c>
      <c r="H24" s="159" t="str">
        <f>IFERROR('THG-Emissionen ohne Zertifikat'!E37,0)</f>
        <v>[Bitte auswählen]</v>
      </c>
      <c r="I24" s="603">
        <f>IFERROR('THG-Emissionen ohne Zertifikat'!G37,0)</f>
        <v>0</v>
      </c>
      <c r="J24" s="603" t="str">
        <f>IFERROR(VLOOKUP(H24,Emissionsfaktoren_Stoffe!$D$4:$L$704,9,FALSE),"")</f>
        <v/>
      </c>
      <c r="K24" s="943">
        <f>IFERROR(VLOOKUP(H24,Emissionsfaktoren_Stoffe!$C$4:$L$704,6,FALSE),0)</f>
        <v>0</v>
      </c>
      <c r="L24" s="945">
        <f t="shared" si="0"/>
        <v>0</v>
      </c>
      <c r="M24" s="943">
        <f>IFERROR(VLOOKUP(H24,Emissionsfaktoren_Stoffe!$C$4:$L$704,8,FALSE),0)</f>
        <v>0</v>
      </c>
      <c r="N24" s="944">
        <f t="shared" si="1"/>
        <v>0</v>
      </c>
    </row>
    <row r="25" spans="2:14" ht="15" thickBot="1">
      <c r="B25" s="23"/>
      <c r="D25" s="7" t="s">
        <v>374</v>
      </c>
      <c r="E25" s="24"/>
      <c r="G25" s="510" t="s">
        <v>320</v>
      </c>
      <c r="H25" s="159" t="str">
        <f>IFERROR('THG-Emissionen ohne Zertifikat'!E39,0)</f>
        <v>[Bitte auswählen]</v>
      </c>
      <c r="I25" s="603">
        <f>IFERROR('THG-Emissionen ohne Zertifikat'!G39,0)</f>
        <v>0</v>
      </c>
      <c r="J25" s="603" t="str">
        <f>IFERROR(VLOOKUP(H25,Emissionsfaktoren_Stoffe!$D$4:$L$704,9,FALSE),"")</f>
        <v/>
      </c>
      <c r="K25" s="943">
        <f>IFERROR(VLOOKUP(H25,Emissionsfaktoren_Stoffe!$C$4:$L$704,6,FALSE),0)</f>
        <v>0</v>
      </c>
      <c r="L25" s="945">
        <f t="shared" si="0"/>
        <v>0</v>
      </c>
      <c r="M25" s="943">
        <f>IFERROR(VLOOKUP(H25,Emissionsfaktoren_Stoffe!$C$4:$L$704,8,FALSE),0)</f>
        <v>0</v>
      </c>
      <c r="N25" s="944">
        <f t="shared" si="1"/>
        <v>0</v>
      </c>
    </row>
    <row r="26" spans="2:14" ht="15" thickBot="1">
      <c r="B26" s="23"/>
      <c r="D26" s="7" t="s">
        <v>191</v>
      </c>
      <c r="E26" s="24"/>
      <c r="G26" s="207" t="s">
        <v>375</v>
      </c>
      <c r="H26" s="240" t="s">
        <v>363</v>
      </c>
      <c r="I26" s="240"/>
      <c r="J26" s="43" t="str">
        <f>IFERROR(VLOOKUP(H26,Emissionsfaktoren_Stoffe!$D$4:$L$75,9,FALSE),"")</f>
        <v/>
      </c>
      <c r="K26" s="43"/>
      <c r="L26" s="208">
        <f>SUM(L16:L25)</f>
        <v>1433.5399399999999</v>
      </c>
      <c r="M26" s="29"/>
      <c r="N26" s="30"/>
    </row>
    <row r="27" spans="2:14" ht="15" thickBot="1">
      <c r="B27" s="23"/>
      <c r="D27" s="7" t="s">
        <v>376</v>
      </c>
      <c r="E27" s="24"/>
      <c r="G27" s="23"/>
      <c r="I27" s="29"/>
      <c r="J27" s="29" t="str">
        <f>IFERROR(VLOOKUP(H27,Emissionsfaktoren_Stoffe!$D$4:$L$75,9,FALSE),"")</f>
        <v/>
      </c>
      <c r="K27" s="29"/>
      <c r="L27" s="29"/>
      <c r="M27" s="29"/>
      <c r="N27" s="30"/>
    </row>
    <row r="28" spans="2:14" ht="15" thickBot="1">
      <c r="B28" s="31"/>
      <c r="C28" s="32"/>
      <c r="D28" s="32" t="s">
        <v>377</v>
      </c>
      <c r="E28" s="33"/>
      <c r="G28" s="207" t="s">
        <v>366</v>
      </c>
      <c r="H28" s="240" t="s">
        <v>363</v>
      </c>
      <c r="I28" s="240"/>
      <c r="J28" s="206"/>
      <c r="K28" s="43"/>
      <c r="L28" s="938">
        <f>IFERROR(('THG-Emissionen ohne Zertifikat'!F13*'THG-Emissionen ohne Zertifikat'!F15),0)</f>
        <v>0</v>
      </c>
      <c r="M28" s="29"/>
      <c r="N28" s="30"/>
    </row>
    <row r="29" spans="2:14">
      <c r="G29" s="23"/>
      <c r="M29" s="29"/>
      <c r="N29" s="30"/>
    </row>
    <row r="30" spans="2:14" ht="15" thickBot="1">
      <c r="G30" s="23"/>
      <c r="I30" s="29"/>
      <c r="J30" s="29"/>
      <c r="K30" s="29"/>
      <c r="L30" s="29"/>
      <c r="M30" s="29"/>
      <c r="N30" s="30"/>
    </row>
    <row r="31" spans="2:14" ht="15" thickBot="1">
      <c r="G31" s="207" t="s">
        <v>378</v>
      </c>
      <c r="H31" s="240" t="s">
        <v>363</v>
      </c>
      <c r="I31" s="240"/>
      <c r="J31" s="43" t="str">
        <f>IFERROR(VLOOKUP(H31,Emissionsfaktoren_Stoffe!$D$4:$L$75,9,FALSE),"")</f>
        <v/>
      </c>
      <c r="K31" s="43"/>
      <c r="L31" s="938">
        <f>'THG-Emissionen ohne Zertifikat'!F43</f>
        <v>1433.5399399999999</v>
      </c>
      <c r="M31" s="29"/>
      <c r="N31" s="30"/>
    </row>
    <row r="32" spans="2:14">
      <c r="G32" s="31"/>
      <c r="H32" s="32"/>
      <c r="I32" s="34"/>
      <c r="J32" s="34"/>
      <c r="K32" s="34"/>
      <c r="L32" s="34"/>
      <c r="M32" s="34"/>
      <c r="N32" s="35"/>
    </row>
  </sheetData>
  <mergeCells count="1">
    <mergeCell ref="B2:H2"/>
  </mergeCells>
  <phoneticPr fontId="34" type="noConversion"/>
  <hyperlinks>
    <hyperlink ref="G5" location="'Aufbau LCC-CO2-Tool'!A1" display="zurück zur Übersicht" xr:uid="{D98299A4-59C3-4D0A-883A-43EB0F87BBF3}"/>
    <hyperlink ref="G6" location="'Anleitung für Beschaffende'!A47" display="zurück zur Anleitung für Beschaffende " xr:uid="{31A497D0-7E3D-49E0-BC3E-6D744D3FFEFF}"/>
    <hyperlink ref="G7" location="'Anleitung für Bietende'!A44" display="zurück zur Anleitung für Bietende" xr:uid="{BF2CC0B5-BC3C-46A7-BF43-24E8A6A55D06}"/>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Umweltbundesamtes&amp;C&amp;8Hintergrundberechnungen Produktion&amp;R&amp;8&amp;P</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tabColor rgb="FFF1A0BD"/>
  </sheetPr>
  <dimension ref="B1:R31"/>
  <sheetViews>
    <sheetView showGridLines="0" zoomScale="80" zoomScaleNormal="80" workbookViewId="0"/>
  </sheetViews>
  <sheetFormatPr baseColWidth="10" defaultColWidth="8" defaultRowHeight="14.5"/>
  <cols>
    <col min="1" max="1" width="4" style="7" customWidth="1"/>
    <col min="2" max="2" width="21.58203125" style="7" hidden="1" customWidth="1"/>
    <col min="3" max="3" width="19.08203125" style="7" hidden="1" customWidth="1"/>
    <col min="4" max="4" width="11.08203125" style="7" hidden="1" customWidth="1"/>
    <col min="5" max="5" width="8" style="7" hidden="1" customWidth="1"/>
    <col min="6" max="6" width="11.58203125" style="7" hidden="1" customWidth="1"/>
    <col min="7" max="8" width="15.5" style="7" hidden="1" customWidth="1"/>
    <col min="9" max="9" width="11.58203125" style="7" hidden="1" customWidth="1"/>
    <col min="10" max="10" width="8" style="7"/>
    <col min="11" max="11" width="26.4140625" style="7" customWidth="1"/>
    <col min="12" max="12" width="25.58203125" style="7" customWidth="1"/>
    <col min="13" max="13" width="13" style="7" customWidth="1"/>
    <col min="14" max="14" width="10.25" style="7" customWidth="1"/>
    <col min="15" max="15" width="11" style="7" customWidth="1"/>
    <col min="16" max="16" width="16.25" style="7" customWidth="1"/>
    <col min="17" max="17" width="13.33203125" style="7" customWidth="1"/>
    <col min="18" max="18" width="10.25" style="7" customWidth="1"/>
    <col min="19" max="16384" width="8" style="7"/>
  </cols>
  <sheetData>
    <row r="1" spans="2:18" ht="18" customHeight="1"/>
    <row r="2" spans="2:18" ht="36" customHeight="1">
      <c r="K2" s="1014" t="s">
        <v>1845</v>
      </c>
      <c r="L2" s="1014"/>
      <c r="M2" s="1014"/>
      <c r="N2" s="1014"/>
      <c r="O2" s="1014"/>
      <c r="P2" s="1014"/>
    </row>
    <row r="3" spans="2:18" ht="14.9" customHeight="1">
      <c r="K3" s="14"/>
      <c r="L3" s="14"/>
    </row>
    <row r="4" spans="2:18" ht="14.9" customHeight="1">
      <c r="K4" s="15"/>
      <c r="L4" s="863" t="s">
        <v>353</v>
      </c>
      <c r="M4" s="21" t="s">
        <v>1782</v>
      </c>
    </row>
    <row r="5" spans="2:18" ht="37">
      <c r="K5" s="864" t="s">
        <v>1784</v>
      </c>
      <c r="L5" s="947">
        <f>Produktion!C5</f>
        <v>100</v>
      </c>
      <c r="M5" s="856" t="str">
        <f>Produktion!D5</f>
        <v>Arbeitsplatzcomputer, Variante Notebook 3 Jahre</v>
      </c>
      <c r="O5" s="996" t="s">
        <v>1886</v>
      </c>
    </row>
    <row r="6" spans="2:18" ht="14.9" customHeight="1">
      <c r="K6" s="14"/>
      <c r="L6" s="14"/>
      <c r="M6" s="14"/>
      <c r="O6" s="996" t="s">
        <v>1887</v>
      </c>
    </row>
    <row r="7" spans="2:18" ht="14.9" customHeight="1">
      <c r="K7" s="19"/>
      <c r="L7" s="21" t="s">
        <v>379</v>
      </c>
      <c r="M7" s="21" t="s">
        <v>354</v>
      </c>
      <c r="O7" s="996" t="s">
        <v>1888</v>
      </c>
    </row>
    <row r="8" spans="2:18" ht="37">
      <c r="K8" s="44" t="s">
        <v>1783</v>
      </c>
      <c r="L8" s="857">
        <f>SUM(P14:P20,P24:P30)</f>
        <v>0</v>
      </c>
      <c r="M8" s="941">
        <f>SUM(R14:R20,R24:R30)</f>
        <v>0</v>
      </c>
    </row>
    <row r="9" spans="2:18">
      <c r="B9" s="14"/>
      <c r="C9" s="14"/>
    </row>
    <row r="10" spans="2:18">
      <c r="B10" s="14"/>
      <c r="C10" s="14"/>
      <c r="D10" s="14"/>
    </row>
    <row r="12" spans="2:18" ht="23.5">
      <c r="B12" s="36"/>
      <c r="C12" s="16"/>
      <c r="D12" s="16"/>
      <c r="E12" s="16"/>
      <c r="F12" s="16"/>
      <c r="G12" s="16"/>
      <c r="H12" s="16"/>
      <c r="I12" s="16"/>
      <c r="J12" s="248" t="s">
        <v>380</v>
      </c>
      <c r="K12" s="16"/>
      <c r="L12" s="16"/>
      <c r="M12" s="16"/>
      <c r="N12" s="16"/>
      <c r="O12" s="16"/>
      <c r="P12" s="16"/>
      <c r="Q12" s="16"/>
      <c r="R12" s="17"/>
    </row>
    <row r="13" spans="2:18" ht="16.5">
      <c r="B13" s="26" t="s">
        <v>359</v>
      </c>
      <c r="C13" s="27" t="s">
        <v>360</v>
      </c>
      <c r="D13" s="27" t="s">
        <v>361</v>
      </c>
      <c r="E13" s="27" t="s">
        <v>228</v>
      </c>
      <c r="F13" s="27" t="s">
        <v>381</v>
      </c>
      <c r="G13" s="27" t="s">
        <v>363</v>
      </c>
      <c r="H13" s="27" t="s">
        <v>382</v>
      </c>
      <c r="I13" s="27" t="s">
        <v>365</v>
      </c>
      <c r="J13" s="23"/>
      <c r="K13" s="27" t="s">
        <v>359</v>
      </c>
      <c r="L13" s="27" t="s">
        <v>383</v>
      </c>
      <c r="M13" s="27" t="s">
        <v>361</v>
      </c>
      <c r="N13" s="27" t="s">
        <v>228</v>
      </c>
      <c r="O13" s="77" t="s">
        <v>362</v>
      </c>
      <c r="P13" s="77" t="s">
        <v>384</v>
      </c>
      <c r="Q13" s="77" t="s">
        <v>364</v>
      </c>
      <c r="R13" s="120" t="s">
        <v>365</v>
      </c>
    </row>
    <row r="14" spans="2:18">
      <c r="B14" s="23"/>
      <c r="C14" s="7" t="s">
        <v>128</v>
      </c>
      <c r="D14" s="29"/>
      <c r="E14" s="29" t="str">
        <f>IFERROR(VLOOKUP(C14,Emissionsfaktoren_Stoffe!$D$4:$L$75,9,FALSE),"")</f>
        <v/>
      </c>
      <c r="F14" s="29">
        <f>IFERROR(VLOOKUP(H13,Emissionsfaktoren_Stoffe!$D$4:$L$75,5,FALSE),0)</f>
        <v>0</v>
      </c>
      <c r="G14" s="29">
        <f>F14*D14</f>
        <v>0</v>
      </c>
      <c r="H14" s="29">
        <f>IFERROR(VLOOKUP(H13,Emissionsfaktoren_Stoffe!$D$4:$L$75,7,FALSE),0)</f>
        <v>0</v>
      </c>
      <c r="I14" s="29">
        <f>H14*D14</f>
        <v>0</v>
      </c>
      <c r="J14" s="237"/>
      <c r="K14" s="7" t="s">
        <v>385</v>
      </c>
      <c r="L14" s="159" t="str">
        <f>IFERROR(IF(Produktion!$C$11=0,'THG-Emissionen ohne Zertifikat'!F60,'THG-Emissionen mit Zertifikat'!E32),0)</f>
        <v>[Bitte auswählen]</v>
      </c>
      <c r="M14" s="943">
        <f>IFERROR(IF(Produktion!$C$11=0,'THG-Emissionen ohne Zertifikat'!G60*'THG-Emissionen ohne Zertifikat'!$H$60/1000,'THG-Emissionen mit Zertifikat'!F32*'THG-Emissionen mit Zertifikat'!$G$32/1000),0)</f>
        <v>0</v>
      </c>
      <c r="N14" s="603" t="str">
        <f>IFERROR(VLOOKUP(L14,Emissionsfaktoren_Prozesse!$D$160:$F$183,3,FALSE),"")</f>
        <v/>
      </c>
      <c r="O14" s="603">
        <f>IFERROR(VLOOKUP(L14,Emissionsfaktoren_Prozesse!$D$160:$N$183,11,FALSE),0)</f>
        <v>0</v>
      </c>
      <c r="P14" s="158">
        <f>O14*M14</f>
        <v>0</v>
      </c>
      <c r="Q14" s="603">
        <f>IFERROR(VLOOKUP(L14,Emissionsfaktoren_Prozesse!$D$160:$Q$183,14,FALSE),0)</f>
        <v>0</v>
      </c>
      <c r="R14" s="604">
        <f>Q14*M14</f>
        <v>0</v>
      </c>
    </row>
    <row r="15" spans="2:18">
      <c r="B15" s="23"/>
      <c r="C15" s="7" t="s">
        <v>128</v>
      </c>
      <c r="D15" s="29"/>
      <c r="E15" s="29" t="str">
        <f>IFERROR(VLOOKUP(C15,Emissionsfaktoren_Stoffe!$D$4:$L$75,9,FALSE),"")</f>
        <v/>
      </c>
      <c r="F15" s="29">
        <f>IFERROR(VLOOKUP(H14,Emissionsfaktoren_Stoffe!$D$4:$L$75,5,FALSE),0)</f>
        <v>0</v>
      </c>
      <c r="G15" s="29">
        <f t="shared" ref="G15:G31" si="0">F15*D15</f>
        <v>0</v>
      </c>
      <c r="H15" s="29">
        <f>IFERROR(VLOOKUP(H14,Emissionsfaktoren_Stoffe!$D$4:$L$75,7,FALSE),0)</f>
        <v>0</v>
      </c>
      <c r="I15" s="29">
        <f t="shared" ref="I15:I31" si="1">H15*D15</f>
        <v>0</v>
      </c>
      <c r="J15" s="237"/>
      <c r="K15" s="7" t="s">
        <v>386</v>
      </c>
      <c r="L15" s="159" t="str">
        <f>IFERROR(IF(Produktion!$C$11=0,'THG-Emissionen ohne Zertifikat'!F62,'THG-Emissionen mit Zertifikat'!E34),0)</f>
        <v>[Bitte auswählen]</v>
      </c>
      <c r="M15" s="943">
        <f>IFERROR(IF(Produktion!$C$11=0,'THG-Emissionen ohne Zertifikat'!G62*'THG-Emissionen ohne Zertifikat'!$H$62/1000,'THG-Emissionen mit Zertifikat'!F34*'THG-Emissionen mit Zertifikat'!$G$34/1000),0)</f>
        <v>0</v>
      </c>
      <c r="N15" s="603" t="str">
        <f>IFERROR(VLOOKUP(L15,Emissionsfaktoren_Prozesse!$D$160:$F$183,3,FALSE),"")</f>
        <v/>
      </c>
      <c r="O15" s="603">
        <f>IFERROR(VLOOKUP(L15,Emissionsfaktoren_Prozesse!$D$160:$N$183,11,FALSE),0)</f>
        <v>0</v>
      </c>
      <c r="P15" s="158">
        <f>O15*M15</f>
        <v>0</v>
      </c>
      <c r="Q15" s="603">
        <f>IFERROR(VLOOKUP(L15,Emissionsfaktoren_Prozesse!$D$160:$Q$183,14,FALSE),0)</f>
        <v>0</v>
      </c>
      <c r="R15" s="604">
        <f>Q15*M15</f>
        <v>0</v>
      </c>
    </row>
    <row r="16" spans="2:18">
      <c r="B16" s="23"/>
      <c r="C16" s="7" t="s">
        <v>128</v>
      </c>
      <c r="D16" s="29"/>
      <c r="E16" s="29" t="str">
        <f>IFERROR(VLOOKUP(C16,Emissionsfaktoren_Stoffe!$D$4:$L$75,9,FALSE),"")</f>
        <v/>
      </c>
      <c r="F16" s="29">
        <f>IFERROR(VLOOKUP(H15,Emissionsfaktoren_Stoffe!$D$4:$L$75,5,FALSE),0)</f>
        <v>0</v>
      </c>
      <c r="G16" s="29">
        <f t="shared" si="0"/>
        <v>0</v>
      </c>
      <c r="H16" s="29">
        <f>IFERROR(VLOOKUP(H15,Emissionsfaktoren_Stoffe!$D$4:$L$75,7,FALSE),0)</f>
        <v>0</v>
      </c>
      <c r="I16" s="29">
        <f t="shared" si="1"/>
        <v>0</v>
      </c>
      <c r="J16" s="237"/>
      <c r="K16" s="7" t="s">
        <v>387</v>
      </c>
      <c r="L16" s="159" t="str">
        <f>IFERROR(IF(Produktion!$C$11=0,'THG-Emissionen ohne Zertifikat'!F64,'THG-Emissionen mit Zertifikat'!E36),0)</f>
        <v>[Bitte auswählen]</v>
      </c>
      <c r="M16" s="943">
        <f>IFERROR(IF(Produktion!$C$11=0,'THG-Emissionen ohne Zertifikat'!G64*'THG-Emissionen ohne Zertifikat'!$H$64/1000,'THG-Emissionen mit Zertifikat'!F36*'THG-Emissionen mit Zertifikat'!$G$36/1000),0)</f>
        <v>0</v>
      </c>
      <c r="N16" s="603" t="str">
        <f>IFERROR(VLOOKUP(L16,Emissionsfaktoren_Prozesse!$D$160:$F$183,3,FALSE),"")</f>
        <v/>
      </c>
      <c r="O16" s="603">
        <f>IFERROR(VLOOKUP(L16,Emissionsfaktoren_Prozesse!$D$160:$N$183,11,FALSE),0)</f>
        <v>0</v>
      </c>
      <c r="P16" s="158">
        <f t="shared" ref="P16" si="2">O16*M16</f>
        <v>0</v>
      </c>
      <c r="Q16" s="603">
        <f>IFERROR(VLOOKUP(L16,Emissionsfaktoren_Prozesse!$D$160:$Q$183,14,FALSE),0)</f>
        <v>0</v>
      </c>
      <c r="R16" s="604">
        <f t="shared" ref="R16:R30" si="3">Q16*M16</f>
        <v>0</v>
      </c>
    </row>
    <row r="17" spans="2:18">
      <c r="B17" s="23"/>
      <c r="C17" s="7" t="s">
        <v>128</v>
      </c>
      <c r="D17" s="29"/>
      <c r="E17" s="29" t="str">
        <f>IFERROR(VLOOKUP(C17,Emissionsfaktoren_Stoffe!$D$4:$L$75,9,FALSE),"")</f>
        <v/>
      </c>
      <c r="F17" s="29">
        <f>IFERROR(VLOOKUP(H16,Emissionsfaktoren_Stoffe!$D$4:$L$75,5,FALSE),0)</f>
        <v>0</v>
      </c>
      <c r="G17" s="29">
        <f t="shared" si="0"/>
        <v>0</v>
      </c>
      <c r="H17" s="29">
        <f>IFERROR(VLOOKUP(H16,Emissionsfaktoren_Stoffe!$D$4:$L$75,7,FALSE),0)</f>
        <v>0</v>
      </c>
      <c r="I17" s="29">
        <f t="shared" si="1"/>
        <v>0</v>
      </c>
      <c r="J17" s="237"/>
      <c r="K17" s="7" t="s">
        <v>388</v>
      </c>
      <c r="L17" s="159" t="str">
        <f>IFERROR(IF(Produktion!$C$11=0,'THG-Emissionen ohne Zertifikat'!F66,'THG-Emissionen mit Zertifikat'!E38),0)</f>
        <v>[Bitte auswählen]</v>
      </c>
      <c r="M17" s="943">
        <f>IFERROR(IF(Produktion!$C$11=0,'THG-Emissionen ohne Zertifikat'!G66*'THG-Emissionen ohne Zertifikat'!$H$66/1000,'THG-Emissionen mit Zertifikat'!F38*'THG-Emissionen mit Zertifikat'!$G$38/1000),0)</f>
        <v>0</v>
      </c>
      <c r="N17" s="603" t="str">
        <f>IFERROR(VLOOKUP(L17,Emissionsfaktoren_Prozesse!$D$160:$F$183,3,FALSE),"")</f>
        <v/>
      </c>
      <c r="O17" s="603">
        <f>IFERROR(VLOOKUP(L17,Emissionsfaktoren_Prozesse!$D$160:$N$183,11,FALSE),0)</f>
        <v>0</v>
      </c>
      <c r="P17" s="158">
        <f t="shared" ref="P17:P20" si="4">O17*M17</f>
        <v>0</v>
      </c>
      <c r="Q17" s="603">
        <f>IFERROR(VLOOKUP(L17,Emissionsfaktoren_Prozesse!$D$160:$Q$183,14,FALSE),0)</f>
        <v>0</v>
      </c>
      <c r="R17" s="604">
        <f t="shared" ref="R17:R20" si="5">Q17*M17</f>
        <v>0</v>
      </c>
    </row>
    <row r="18" spans="2:18">
      <c r="B18" s="23"/>
      <c r="C18" s="7" t="s">
        <v>128</v>
      </c>
      <c r="D18" s="29"/>
      <c r="E18" s="29" t="str">
        <f>IFERROR(VLOOKUP(C18,Emissionsfaktoren_Stoffe!$D$4:$L$75,9,FALSE),"")</f>
        <v/>
      </c>
      <c r="F18" s="29">
        <f>IFERROR(VLOOKUP(H17,Emissionsfaktoren_Stoffe!$D$4:$L$75,5,FALSE),0)</f>
        <v>0</v>
      </c>
      <c r="G18" s="29">
        <f t="shared" si="0"/>
        <v>0</v>
      </c>
      <c r="H18" s="29">
        <f>IFERROR(VLOOKUP(H17,Emissionsfaktoren_Stoffe!$D$4:$L$75,7,FALSE),0)</f>
        <v>0</v>
      </c>
      <c r="I18" s="29">
        <f t="shared" si="1"/>
        <v>0</v>
      </c>
      <c r="J18" s="237"/>
      <c r="K18" s="7" t="s">
        <v>389</v>
      </c>
      <c r="L18" s="159" t="str">
        <f>IFERROR(IF(Produktion!$C$11=0,'THG-Emissionen ohne Zertifikat'!F68,'THG-Emissionen mit Zertifikat'!E40),0)</f>
        <v>[Bitte auswählen]</v>
      </c>
      <c r="M18" s="943">
        <f>IFERROR(IF(Produktion!$C$11=0,'THG-Emissionen ohne Zertifikat'!G68*'THG-Emissionen ohne Zertifikat'!$H$68/1000,'THG-Emissionen mit Zertifikat'!F40*'THG-Emissionen mit Zertifikat'!$G$40/1000),0)</f>
        <v>0</v>
      </c>
      <c r="N18" s="603" t="str">
        <f>IFERROR(VLOOKUP(L18,Emissionsfaktoren_Prozesse!$D$160:$F$183,3,FALSE),"")</f>
        <v/>
      </c>
      <c r="O18" s="603">
        <f>IFERROR(VLOOKUP(L18,Emissionsfaktoren_Prozesse!$D$160:$N$183,11,FALSE),0)</f>
        <v>0</v>
      </c>
      <c r="P18" s="158">
        <f t="shared" si="4"/>
        <v>0</v>
      </c>
      <c r="Q18" s="603">
        <f>IFERROR(VLOOKUP(L18,Emissionsfaktoren_Prozesse!$D$160:$Q$183,14,FALSE),0)</f>
        <v>0</v>
      </c>
      <c r="R18" s="604">
        <f t="shared" si="5"/>
        <v>0</v>
      </c>
    </row>
    <row r="19" spans="2:18">
      <c r="B19" s="23"/>
      <c r="C19" s="7" t="s">
        <v>128</v>
      </c>
      <c r="D19" s="29"/>
      <c r="E19" s="29" t="str">
        <f>IFERROR(VLOOKUP(C19,Emissionsfaktoren_Stoffe!$D$4:$L$75,9,FALSE),"")</f>
        <v/>
      </c>
      <c r="F19" s="29">
        <f>IFERROR(VLOOKUP(H18,Emissionsfaktoren_Stoffe!$D$4:$L$75,5,FALSE),0)</f>
        <v>0</v>
      </c>
      <c r="G19" s="29">
        <f t="shared" si="0"/>
        <v>0</v>
      </c>
      <c r="H19" s="29">
        <f>IFERROR(VLOOKUP(H18,Emissionsfaktoren_Stoffe!$D$4:$L$75,7,FALSE),0)</f>
        <v>0</v>
      </c>
      <c r="I19" s="29">
        <f t="shared" si="1"/>
        <v>0</v>
      </c>
      <c r="J19" s="237"/>
      <c r="K19" s="7" t="s">
        <v>390</v>
      </c>
      <c r="L19" s="159" t="str">
        <f>IFERROR(IF(Produktion!$C$11=0,'THG-Emissionen ohne Zertifikat'!F70,'THG-Emissionen mit Zertifikat'!E42),0)</f>
        <v>[Bitte auswählen]</v>
      </c>
      <c r="M19" s="943">
        <f>IFERROR(IF(Produktion!$C$11=0,'THG-Emissionen ohne Zertifikat'!G70*'THG-Emissionen ohne Zertifikat'!$H$70/1000,'THG-Emissionen mit Zertifikat'!F42*'THG-Emissionen mit Zertifikat'!$G$42/1000),0)</f>
        <v>0</v>
      </c>
      <c r="N19" s="603" t="str">
        <f>IFERROR(VLOOKUP(L19,Emissionsfaktoren_Prozesse!$D$160:$F$183,3,FALSE),"")</f>
        <v/>
      </c>
      <c r="O19" s="603">
        <f>IFERROR(VLOOKUP(L19,Emissionsfaktoren_Prozesse!$D$160:$N$183,11,FALSE),0)</f>
        <v>0</v>
      </c>
      <c r="P19" s="158">
        <f t="shared" si="4"/>
        <v>0</v>
      </c>
      <c r="Q19" s="603">
        <f>IFERROR(VLOOKUP(L19,Emissionsfaktoren_Prozesse!$D$160:$Q$183,14,FALSE),0)</f>
        <v>0</v>
      </c>
      <c r="R19" s="604">
        <f t="shared" si="5"/>
        <v>0</v>
      </c>
    </row>
    <row r="20" spans="2:18">
      <c r="B20" s="23"/>
      <c r="C20" s="7" t="s">
        <v>128</v>
      </c>
      <c r="D20" s="29"/>
      <c r="E20" s="29" t="str">
        <f>IFERROR(VLOOKUP(C20,Emissionsfaktoren_Stoffe!$D$4:$L$75,9,FALSE),"")</f>
        <v/>
      </c>
      <c r="F20" s="29">
        <f>IFERROR(VLOOKUP(H19,Emissionsfaktoren_Stoffe!$D$4:$L$75,5,FALSE),0)</f>
        <v>0</v>
      </c>
      <c r="G20" s="29">
        <f t="shared" si="0"/>
        <v>0</v>
      </c>
      <c r="H20" s="29">
        <f>IFERROR(VLOOKUP(H19,Emissionsfaktoren_Stoffe!$D$4:$L$75,7,FALSE),0)</f>
        <v>0</v>
      </c>
      <c r="I20" s="29">
        <f t="shared" si="1"/>
        <v>0</v>
      </c>
      <c r="J20" s="237"/>
      <c r="K20" s="7" t="s">
        <v>391</v>
      </c>
      <c r="L20" s="159" t="str">
        <f>IFERROR(IF(Produktion!$C$11=0,'THG-Emissionen ohne Zertifikat'!F72,'THG-Emissionen mit Zertifikat'!E44),0)</f>
        <v>[Bitte auswählen]</v>
      </c>
      <c r="M20" s="943">
        <f>IFERROR(IF(Produktion!$C$11=0,'THG-Emissionen ohne Zertifikat'!G72*'THG-Emissionen ohne Zertifikat'!$H$72/1000,'THG-Emissionen mit Zertifikat'!F44*'THG-Emissionen mit Zertifikat'!$G$44/1000),0)</f>
        <v>0</v>
      </c>
      <c r="N20" s="603" t="str">
        <f>IFERROR(VLOOKUP(L20,Emissionsfaktoren_Prozesse!$D$160:$F$183,3,FALSE),"")</f>
        <v/>
      </c>
      <c r="O20" s="603">
        <f>IFERROR(VLOOKUP(L20,Emissionsfaktoren_Prozesse!$D$160:$N$183,11,FALSE),0)</f>
        <v>0</v>
      </c>
      <c r="P20" s="158">
        <f t="shared" si="4"/>
        <v>0</v>
      </c>
      <c r="Q20" s="603">
        <f>IFERROR(VLOOKUP(L20,Emissionsfaktoren_Prozesse!$D$160:$Q$183,14,FALSE),0)</f>
        <v>0</v>
      </c>
      <c r="R20" s="604">
        <f t="shared" si="5"/>
        <v>0</v>
      </c>
    </row>
    <row r="21" spans="2:18">
      <c r="B21" s="23"/>
      <c r="D21" s="29"/>
      <c r="E21" s="29"/>
      <c r="F21" s="29"/>
      <c r="G21" s="29"/>
      <c r="H21" s="29"/>
      <c r="I21" s="29"/>
      <c r="J21" s="239"/>
      <c r="M21" s="29"/>
      <c r="N21" s="29"/>
      <c r="O21" s="29"/>
      <c r="P21" s="6"/>
      <c r="Q21" s="29"/>
      <c r="R21" s="30"/>
    </row>
    <row r="22" spans="2:18" ht="23.5">
      <c r="B22" s="23"/>
      <c r="C22" s="7" t="s">
        <v>128</v>
      </c>
      <c r="D22" s="29"/>
      <c r="E22" s="29" t="str">
        <f>IFERROR(VLOOKUP(C22,Emissionsfaktoren_Stoffe!$D$4:$L$75,9,FALSE),"")</f>
        <v/>
      </c>
      <c r="F22" s="29">
        <f>IFERROR(VLOOKUP(H20,Emissionsfaktoren_Stoffe!$D$4:$L$75,5,FALSE),0)</f>
        <v>0</v>
      </c>
      <c r="G22" s="29">
        <f t="shared" si="0"/>
        <v>0</v>
      </c>
      <c r="H22" s="29">
        <f>IFERROR(VLOOKUP(H20,Emissionsfaktoren_Stoffe!$D$4:$L$75,7,FALSE),0)</f>
        <v>0</v>
      </c>
      <c r="I22" s="29">
        <f t="shared" si="1"/>
        <v>0</v>
      </c>
      <c r="J22" s="246" t="s">
        <v>392</v>
      </c>
      <c r="M22" s="29"/>
      <c r="N22" s="29" t="str">
        <f>IFERROR(VLOOKUP(L22,Emissionsfaktoren_Prozesse!$F$4:$R$149,14,FALSE),"")</f>
        <v/>
      </c>
      <c r="O22" s="29"/>
      <c r="P22" s="29"/>
      <c r="Q22" s="29"/>
      <c r="R22" s="30"/>
    </row>
    <row r="23" spans="2:18" ht="16.5">
      <c r="B23" s="23"/>
      <c r="C23" s="7" t="s">
        <v>128</v>
      </c>
      <c r="D23" s="29"/>
      <c r="E23" s="29" t="str">
        <f>IFERROR(VLOOKUP(C23,Emissionsfaktoren_Stoffe!$D$4:$L$75,9,FALSE),"")</f>
        <v/>
      </c>
      <c r="F23" s="29">
        <f>IFERROR(VLOOKUP(H22,Emissionsfaktoren_Stoffe!$D$4:$L$75,5,FALSE),0)</f>
        <v>0</v>
      </c>
      <c r="G23" s="29">
        <f t="shared" si="0"/>
        <v>0</v>
      </c>
      <c r="H23" s="29">
        <f>IFERROR(VLOOKUP(H22,Emissionsfaktoren_Stoffe!$D$4:$L$75,7,FALSE),0)</f>
        <v>0</v>
      </c>
      <c r="I23" s="29">
        <f t="shared" si="1"/>
        <v>0</v>
      </c>
      <c r="J23" s="23"/>
      <c r="K23" s="27" t="s">
        <v>359</v>
      </c>
      <c r="L23" s="27" t="s">
        <v>383</v>
      </c>
      <c r="M23" s="27" t="s">
        <v>361</v>
      </c>
      <c r="N23" s="27" t="s">
        <v>228</v>
      </c>
      <c r="O23" s="77" t="s">
        <v>362</v>
      </c>
      <c r="P23" s="77" t="s">
        <v>384</v>
      </c>
      <c r="Q23" s="77" t="s">
        <v>364</v>
      </c>
      <c r="R23" s="120" t="s">
        <v>365</v>
      </c>
    </row>
    <row r="24" spans="2:18">
      <c r="B24" s="23"/>
      <c r="C24" s="7" t="s">
        <v>128</v>
      </c>
      <c r="D24" s="29"/>
      <c r="E24" s="29" t="str">
        <f>IFERROR(VLOOKUP(C24,Emissionsfaktoren_Stoffe!$D$4:$L$75,9,FALSE),"")</f>
        <v/>
      </c>
      <c r="F24" s="29">
        <f>IFERROR(VLOOKUP(H23,Emissionsfaktoren_Stoffe!$D$4:$L$75,5,FALSE),0)</f>
        <v>0</v>
      </c>
      <c r="G24" s="29">
        <f t="shared" si="0"/>
        <v>0</v>
      </c>
      <c r="H24" s="29">
        <f>IFERROR(VLOOKUP(H23,Emissionsfaktoren_Stoffe!$D$4:$L$75,7,FALSE),0)</f>
        <v>0</v>
      </c>
      <c r="I24" s="29">
        <f t="shared" si="1"/>
        <v>0</v>
      </c>
      <c r="J24" s="238"/>
      <c r="K24" s="499" t="s">
        <v>393</v>
      </c>
      <c r="L24" s="159" t="str">
        <f>IFERROR(IF(Produktion!$C$11=0,'THG-Emissionen ohne Zertifikat'!F77,'THG-Emissionen mit Zertifikat'!E49),0)</f>
        <v>[Bitte auswählen]</v>
      </c>
      <c r="M24" s="943">
        <f>IFERROR(IF(Produktion!$C$11=0,'THG-Emissionen ohne Zertifikat'!G77,'THG-Emissionen mit Zertifikat'!F49),0)</f>
        <v>0</v>
      </c>
      <c r="N24" s="603" t="str">
        <f>IFERROR(VLOOKUP(L24,Emissionsfaktoren_Prozesse!$D$108:$F$156,3,FALSE),"")</f>
        <v/>
      </c>
      <c r="O24" s="603">
        <f>IFERROR(VLOOKUP(L24,Emissionsfaktoren_Prozesse!$D$108:$N$156,11,FALSE),0)</f>
        <v>0</v>
      </c>
      <c r="P24" s="158">
        <f>IFERROR(O24*M24/$L$5*(IF(Produktion!$C$11=0,'THG-Emissionen ohne Zertifikat'!I77,'THG-Emissionen mit Zertifikat'!H49)),0)</f>
        <v>0</v>
      </c>
      <c r="Q24" s="603">
        <f>IFERROR(VLOOKUP(L24,Emissionsfaktoren_Prozesse!$D$108:$Q$156,14,FALSE),0)</f>
        <v>0</v>
      </c>
      <c r="R24" s="948">
        <f t="shared" si="3"/>
        <v>0</v>
      </c>
    </row>
    <row r="25" spans="2:18">
      <c r="B25" s="23"/>
      <c r="C25" s="7" t="s">
        <v>128</v>
      </c>
      <c r="D25" s="29"/>
      <c r="E25" s="29" t="str">
        <f>IFERROR(VLOOKUP(C25,Emissionsfaktoren_Stoffe!$D$4:$L$75,9,FALSE),"")</f>
        <v/>
      </c>
      <c r="F25" s="29">
        <f>IFERROR(VLOOKUP(H24,Emissionsfaktoren_Stoffe!$D$4:$L$75,5,FALSE),0)</f>
        <v>0</v>
      </c>
      <c r="G25" s="29">
        <f t="shared" si="0"/>
        <v>0</v>
      </c>
      <c r="H25" s="29">
        <f>IFERROR(VLOOKUP(H24,Emissionsfaktoren_Stoffe!$D$4:$L$75,7,FALSE),0)</f>
        <v>0</v>
      </c>
      <c r="I25" s="29">
        <f t="shared" si="1"/>
        <v>0</v>
      </c>
      <c r="J25" s="238"/>
      <c r="K25" s="499" t="s">
        <v>394</v>
      </c>
      <c r="L25" s="159" t="str">
        <f>IFERROR(IF(Produktion!$C$11=0,'THG-Emissionen ohne Zertifikat'!F79,'THG-Emissionen mit Zertifikat'!E51),0)</f>
        <v>[Bitte auswählen]</v>
      </c>
      <c r="M25" s="943">
        <f>IFERROR(IF(Produktion!$C$11=0,'THG-Emissionen ohne Zertifikat'!G79,'THG-Emissionen mit Zertifikat'!F51),0)</f>
        <v>0</v>
      </c>
      <c r="N25" s="603" t="str">
        <f>IFERROR(VLOOKUP(L25,Emissionsfaktoren_Prozesse!$D$108:$F$156,3,FALSE),"")</f>
        <v/>
      </c>
      <c r="O25" s="603">
        <f>IFERROR(VLOOKUP(L25,Emissionsfaktoren_Prozesse!$D$108:$N$156,11,FALSE),0)</f>
        <v>0</v>
      </c>
      <c r="P25" s="158">
        <f>IFERROR(O25*M25/$L$5*(IF(Produktion!$C$11=0,'THG-Emissionen ohne Zertifikat'!I79,'THG-Emissionen mit Zertifikat'!H51)),0)</f>
        <v>0</v>
      </c>
      <c r="Q25" s="603">
        <f>IFERROR(VLOOKUP(L25,Emissionsfaktoren_Prozesse!$D$108:$Q$156,14,FALSE),0)</f>
        <v>0</v>
      </c>
      <c r="R25" s="948">
        <f t="shared" si="3"/>
        <v>0</v>
      </c>
    </row>
    <row r="26" spans="2:18">
      <c r="B26" s="23"/>
      <c r="C26" s="7" t="s">
        <v>128</v>
      </c>
      <c r="D26" s="29"/>
      <c r="E26" s="29" t="str">
        <f>IFERROR(VLOOKUP(C26,Emissionsfaktoren_Stoffe!$D$4:$L$75,9,FALSE),"")</f>
        <v/>
      </c>
      <c r="F26" s="29">
        <f>IFERROR(VLOOKUP(H25,Emissionsfaktoren_Stoffe!$D$4:$L$75,5,FALSE),0)</f>
        <v>0</v>
      </c>
      <c r="G26" s="29">
        <f t="shared" si="0"/>
        <v>0</v>
      </c>
      <c r="H26" s="29">
        <f>IFERROR(VLOOKUP(H25,Emissionsfaktoren_Stoffe!$D$4:$L$75,7,FALSE),0)</f>
        <v>0</v>
      </c>
      <c r="I26" s="29">
        <f t="shared" si="1"/>
        <v>0</v>
      </c>
      <c r="J26" s="238"/>
      <c r="K26" s="499" t="s">
        <v>395</v>
      </c>
      <c r="L26" s="159" t="str">
        <f>IFERROR(IF(Produktion!$C$11=0,'THG-Emissionen ohne Zertifikat'!F81,'THG-Emissionen mit Zertifikat'!E53),0)</f>
        <v>[Bitte auswählen]</v>
      </c>
      <c r="M26" s="943">
        <f>IFERROR(IF(Produktion!$C$11=0,'THG-Emissionen ohne Zertifikat'!G81,'THG-Emissionen mit Zertifikat'!F53),0)</f>
        <v>0</v>
      </c>
      <c r="N26" s="603" t="str">
        <f>IFERROR(VLOOKUP(L26,Emissionsfaktoren_Prozesse!$D$108:$F$156,3,FALSE),"")</f>
        <v/>
      </c>
      <c r="O26" s="603">
        <f>IFERROR(VLOOKUP(L26,Emissionsfaktoren_Prozesse!$D$108:$N$156,11,FALSE),0)</f>
        <v>0</v>
      </c>
      <c r="P26" s="158">
        <f>IFERROR(O26*M26/$L$5*(IF(Produktion!$C$11=0,'THG-Emissionen ohne Zertifikat'!I81,'THG-Emissionen mit Zertifikat'!H53)),0)</f>
        <v>0</v>
      </c>
      <c r="Q26" s="603">
        <f>IFERROR(VLOOKUP(L26,Emissionsfaktoren_Prozesse!$D$108:$Q$156,14,FALSE),0)</f>
        <v>0</v>
      </c>
      <c r="R26" s="948">
        <f t="shared" si="3"/>
        <v>0</v>
      </c>
    </row>
    <row r="27" spans="2:18">
      <c r="B27" s="23"/>
      <c r="C27" s="7" t="s">
        <v>128</v>
      </c>
      <c r="D27" s="29"/>
      <c r="E27" s="29" t="str">
        <f>IFERROR(VLOOKUP(C27,Emissionsfaktoren_Stoffe!$D$4:$L$75,9,FALSE),"")</f>
        <v/>
      </c>
      <c r="F27" s="29">
        <f>IFERROR(VLOOKUP(H26,Emissionsfaktoren_Stoffe!$D$4:$L$75,5,FALSE),0)</f>
        <v>0</v>
      </c>
      <c r="G27" s="29">
        <f t="shared" si="0"/>
        <v>0</v>
      </c>
      <c r="H27" s="29">
        <f>IFERROR(VLOOKUP(H26,Emissionsfaktoren_Stoffe!$D$4:$L$75,7,FALSE),0)</f>
        <v>0</v>
      </c>
      <c r="I27" s="29">
        <f t="shared" si="1"/>
        <v>0</v>
      </c>
      <c r="J27" s="238"/>
      <c r="K27" s="499" t="s">
        <v>396</v>
      </c>
      <c r="L27" s="159" t="str">
        <f>IFERROR(IF(Produktion!$C$11=0,'THG-Emissionen ohne Zertifikat'!F83,'THG-Emissionen mit Zertifikat'!E55),0)</f>
        <v>[Bitte auswählen]</v>
      </c>
      <c r="M27" s="943">
        <f>IFERROR(IF(Produktion!$C$11=0,'THG-Emissionen ohne Zertifikat'!G83,'THG-Emissionen mit Zertifikat'!F55),0)</f>
        <v>0</v>
      </c>
      <c r="N27" s="603" t="str">
        <f>IFERROR(VLOOKUP(L27,Emissionsfaktoren_Prozesse!$D$108:$F$156,3,FALSE),"")</f>
        <v/>
      </c>
      <c r="O27" s="603">
        <f>IFERROR(VLOOKUP(L27,Emissionsfaktoren_Prozesse!$D$108:$N$156,11,FALSE),0)</f>
        <v>0</v>
      </c>
      <c r="P27" s="158">
        <f>IFERROR(O27*M27/$L$5*(IF(Produktion!$C$11=0,'THG-Emissionen ohne Zertifikat'!I83,'THG-Emissionen mit Zertifikat'!H55)),0)</f>
        <v>0</v>
      </c>
      <c r="Q27" s="603">
        <f>IFERROR(VLOOKUP(L27,Emissionsfaktoren_Prozesse!$D$108:$Q$156,14,FALSE),0)</f>
        <v>0</v>
      </c>
      <c r="R27" s="948">
        <f t="shared" si="3"/>
        <v>0</v>
      </c>
    </row>
    <row r="28" spans="2:18">
      <c r="B28" s="23"/>
      <c r="C28" s="7" t="s">
        <v>128</v>
      </c>
      <c r="D28" s="29"/>
      <c r="E28" s="29" t="str">
        <f>IFERROR(VLOOKUP(C28,Emissionsfaktoren_Stoffe!$D$4:$L$75,9,FALSE),"")</f>
        <v/>
      </c>
      <c r="F28" s="29">
        <f>IFERROR(VLOOKUP(H27,Emissionsfaktoren_Stoffe!$D$4:$L$75,5,FALSE),0)</f>
        <v>0</v>
      </c>
      <c r="G28" s="29">
        <f t="shared" si="0"/>
        <v>0</v>
      </c>
      <c r="H28" s="29">
        <f>IFERROR(VLOOKUP(H27,Emissionsfaktoren_Stoffe!$D$4:$L$75,7,FALSE),0)</f>
        <v>0</v>
      </c>
      <c r="I28" s="29">
        <f t="shared" si="1"/>
        <v>0</v>
      </c>
      <c r="J28" s="238"/>
      <c r="K28" s="499" t="s">
        <v>397</v>
      </c>
      <c r="L28" s="159" t="str">
        <f>IFERROR(IF(Produktion!$C$11=0,'THG-Emissionen ohne Zertifikat'!F85,'THG-Emissionen mit Zertifikat'!E57),0)</f>
        <v>[Bitte auswählen]</v>
      </c>
      <c r="M28" s="943">
        <f>IFERROR(IF(Produktion!$C$11=0,'THG-Emissionen ohne Zertifikat'!G85,'THG-Emissionen mit Zertifikat'!F57),0)</f>
        <v>0</v>
      </c>
      <c r="N28" s="603" t="str">
        <f>IFERROR(VLOOKUP(L28,Emissionsfaktoren_Prozesse!$D$108:$F$156,3,FALSE),"")</f>
        <v/>
      </c>
      <c r="O28" s="603">
        <f>IFERROR(VLOOKUP(L28,Emissionsfaktoren_Prozesse!$D$108:$N$156,11,FALSE),0)</f>
        <v>0</v>
      </c>
      <c r="P28" s="158">
        <f>IFERROR(O28*M28/$L$5*(IF(Produktion!$C$11=0,'THG-Emissionen ohne Zertifikat'!I85,'THG-Emissionen mit Zertifikat'!H57)),0)</f>
        <v>0</v>
      </c>
      <c r="Q28" s="603">
        <f>IFERROR(VLOOKUP(L28,Emissionsfaktoren_Prozesse!$D$108:$Q$156,14,FALSE),0)</f>
        <v>0</v>
      </c>
      <c r="R28" s="948">
        <f t="shared" si="3"/>
        <v>0</v>
      </c>
    </row>
    <row r="29" spans="2:18">
      <c r="B29" s="23"/>
      <c r="C29" s="7" t="s">
        <v>128</v>
      </c>
      <c r="D29" s="29"/>
      <c r="E29" s="29" t="str">
        <f>IFERROR(VLOOKUP(C29,Emissionsfaktoren_Stoffe!$D$4:$L$75,9,FALSE),"")</f>
        <v/>
      </c>
      <c r="F29" s="29">
        <f>IFERROR(VLOOKUP(H28,Emissionsfaktoren_Stoffe!$D$4:$L$75,5,FALSE),0)</f>
        <v>0</v>
      </c>
      <c r="G29" s="29">
        <f t="shared" si="0"/>
        <v>0</v>
      </c>
      <c r="H29" s="29">
        <f>IFERROR(VLOOKUP(H28,Emissionsfaktoren_Stoffe!$D$4:$L$75,7,FALSE),0)</f>
        <v>0</v>
      </c>
      <c r="I29" s="29">
        <f t="shared" si="1"/>
        <v>0</v>
      </c>
      <c r="J29" s="238"/>
      <c r="K29" s="499" t="s">
        <v>398</v>
      </c>
      <c r="L29" s="159" t="str">
        <f>IFERROR(IF(Produktion!$C$11=0,'THG-Emissionen ohne Zertifikat'!F87,'THG-Emissionen mit Zertifikat'!E59),0)</f>
        <v>[Bitte auswählen]</v>
      </c>
      <c r="M29" s="943">
        <f>IFERROR(IF(Produktion!$C$11=0,'THG-Emissionen ohne Zertifikat'!G87,'THG-Emissionen mit Zertifikat'!F59),0)</f>
        <v>0</v>
      </c>
      <c r="N29" s="603" t="str">
        <f>IFERROR(VLOOKUP(L29,Emissionsfaktoren_Prozesse!$D$108:$F$156,3,FALSE),"")</f>
        <v/>
      </c>
      <c r="O29" s="603">
        <f>IFERROR(VLOOKUP(L29,Emissionsfaktoren_Prozesse!$D$108:$N$156,11,FALSE),0)</f>
        <v>0</v>
      </c>
      <c r="P29" s="158">
        <f>IFERROR(O29*M29/$L$5*(IF(Produktion!$C$11=0,'THG-Emissionen ohne Zertifikat'!I87,'THG-Emissionen mit Zertifikat'!H59)),0)</f>
        <v>0</v>
      </c>
      <c r="Q29" s="603">
        <f>IFERROR(VLOOKUP(L29,Emissionsfaktoren_Prozesse!$D$108:$Q$156,14,FALSE),0)</f>
        <v>0</v>
      </c>
      <c r="R29" s="948">
        <f t="shared" si="3"/>
        <v>0</v>
      </c>
    </row>
    <row r="30" spans="2:18">
      <c r="B30" s="23"/>
      <c r="C30" s="7" t="s">
        <v>128</v>
      </c>
      <c r="D30" s="29"/>
      <c r="E30" s="29" t="str">
        <f>IFERROR(VLOOKUP(C30,Emissionsfaktoren_Stoffe!$D$4:$L$75,9,FALSE),"")</f>
        <v/>
      </c>
      <c r="F30" s="29">
        <f>IFERROR(VLOOKUP(H29,Emissionsfaktoren_Stoffe!$D$4:$L$75,5,FALSE),0)</f>
        <v>0</v>
      </c>
      <c r="G30" s="29">
        <f t="shared" si="0"/>
        <v>0</v>
      </c>
      <c r="H30" s="29">
        <f>IFERROR(VLOOKUP(H29,Emissionsfaktoren_Stoffe!$D$4:$L$75,7,FALSE),0)</f>
        <v>0</v>
      </c>
      <c r="I30" s="29">
        <f t="shared" si="1"/>
        <v>0</v>
      </c>
      <c r="J30" s="238"/>
      <c r="K30" s="499" t="s">
        <v>399</v>
      </c>
      <c r="L30" s="159" t="str">
        <f>IFERROR(IF(Produktion!$C$11=0,'THG-Emissionen ohne Zertifikat'!F89,'THG-Emissionen mit Zertifikat'!E61),0)</f>
        <v>[Bitte auswählen]</v>
      </c>
      <c r="M30" s="943">
        <f>IFERROR(IF(Produktion!$C$11=0,'THG-Emissionen ohne Zertifikat'!G89,'THG-Emissionen mit Zertifikat'!F61),0)</f>
        <v>0</v>
      </c>
      <c r="N30" s="603" t="str">
        <f>IFERROR(VLOOKUP(L30,Emissionsfaktoren_Prozesse!$D$108:$F$156,3,FALSE),"")</f>
        <v/>
      </c>
      <c r="O30" s="603">
        <f>IFERROR(VLOOKUP(L30,Emissionsfaktoren_Prozesse!$D$108:$N$156,11,FALSE),0)</f>
        <v>0</v>
      </c>
      <c r="P30" s="158">
        <f>IFERROR(O30*M30/$L$5*(IF(Produktion!$C$11=0,'THG-Emissionen ohne Zertifikat'!I89,'THG-Emissionen mit Zertifikat'!H61)),0)</f>
        <v>0</v>
      </c>
      <c r="Q30" s="603">
        <f>IFERROR(VLOOKUP(L30,Emissionsfaktoren_Prozesse!$D$108:$Q$156,14,FALSE),0)</f>
        <v>0</v>
      </c>
      <c r="R30" s="948">
        <f t="shared" si="3"/>
        <v>0</v>
      </c>
    </row>
    <row r="31" spans="2:18">
      <c r="B31" s="31"/>
      <c r="C31" s="32" t="s">
        <v>128</v>
      </c>
      <c r="D31" s="34"/>
      <c r="E31" s="34" t="str">
        <f>IFERROR(VLOOKUP(C31,Emissionsfaktoren_Stoffe!$D$4:$L$75,9,FALSE),"")</f>
        <v/>
      </c>
      <c r="F31" s="34">
        <f>IFERROR(VLOOKUP(H30,Emissionsfaktoren_Stoffe!$D$4:$L$75,5,FALSE),0)</f>
        <v>0</v>
      </c>
      <c r="G31" s="34">
        <f t="shared" si="0"/>
        <v>0</v>
      </c>
      <c r="H31" s="34">
        <f>IFERROR(VLOOKUP(H30,Emissionsfaktoren_Stoffe!$D$4:$L$75,7,FALSE),0)</f>
        <v>0</v>
      </c>
      <c r="I31" s="34">
        <f t="shared" si="1"/>
        <v>0</v>
      </c>
      <c r="J31" s="247"/>
      <c r="K31" s="32"/>
      <c r="L31" s="32"/>
      <c r="M31" s="34"/>
      <c r="N31" s="34"/>
      <c r="O31" s="34"/>
      <c r="P31" s="34"/>
      <c r="Q31" s="34"/>
      <c r="R31" s="35"/>
    </row>
  </sheetData>
  <mergeCells count="1">
    <mergeCell ref="K2:P2"/>
  </mergeCells>
  <phoneticPr fontId="34" type="noConversion"/>
  <hyperlinks>
    <hyperlink ref="O5" location="'Aufbau LCC-CO2-Tool'!A1" display="zurück zur Übersicht" xr:uid="{E61CA936-386F-4E50-B202-2241234AC5F3}"/>
    <hyperlink ref="O6" location="'Anleitung für Beschaffende'!A47" display="zurück zur Anleitung für Beschaffende " xr:uid="{3C8D1C00-33D0-443B-9613-85A5BE529AAF}"/>
    <hyperlink ref="O7" location="'Anleitung für Bietende'!A44" display="zurück zur Anleitung für Bietende" xr:uid="{8062BFA8-A61F-4A96-B8AB-88376A0DE574}"/>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Umweltbundesamtes&amp;C&amp;8Hintergrundberechnungen Transport + Installation&amp;R&amp;8&amp;P</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C00-000000000000}">
          <x14:formula1>
            <xm:f>Emissionsfaktoren_Stoffe!$D$3:$D$75</xm:f>
          </x14:formula1>
          <xm:sqref>C14:C31</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rgb="FFF1A0BD"/>
  </sheetPr>
  <dimension ref="B1:L33"/>
  <sheetViews>
    <sheetView showGridLines="0" topLeftCell="A14" zoomScaleNormal="100" workbookViewId="0">
      <selection activeCell="C25" sqref="C25"/>
    </sheetView>
  </sheetViews>
  <sheetFormatPr baseColWidth="10" defaultColWidth="8" defaultRowHeight="14.5"/>
  <cols>
    <col min="1" max="1" width="3.33203125" style="7" customWidth="1"/>
    <col min="2" max="2" width="27.6640625" style="7" customWidth="1"/>
    <col min="3" max="3" width="18.75" style="7" customWidth="1"/>
    <col min="4" max="4" width="18.25" style="7" bestFit="1" customWidth="1"/>
    <col min="5" max="5" width="14.25" style="7" bestFit="1" customWidth="1"/>
    <col min="6" max="6" width="14.08203125" style="7" bestFit="1" customWidth="1"/>
    <col min="7" max="7" width="14.25" style="7" customWidth="1"/>
    <col min="8" max="8" width="17.83203125" style="7" customWidth="1"/>
    <col min="9" max="9" width="17.25" style="7" customWidth="1"/>
    <col min="10" max="10" width="14.75" style="7" bestFit="1" customWidth="1"/>
    <col min="11" max="11" width="11.08203125" style="7" customWidth="1"/>
    <col min="12" max="16384" width="8" style="7"/>
  </cols>
  <sheetData>
    <row r="1" spans="2:11" ht="16" customHeight="1"/>
    <row r="2" spans="2:11" ht="18.5">
      <c r="B2" s="1014" t="s">
        <v>1927</v>
      </c>
      <c r="C2" s="1014"/>
      <c r="D2" s="1014"/>
      <c r="E2" s="1014"/>
      <c r="F2" s="1014"/>
      <c r="G2" s="1014"/>
      <c r="H2" s="1014"/>
    </row>
    <row r="3" spans="2:11">
      <c r="B3" s="14"/>
      <c r="C3" s="14"/>
    </row>
    <row r="4" spans="2:11">
      <c r="B4" s="15"/>
      <c r="C4" s="863" t="s">
        <v>353</v>
      </c>
      <c r="D4" s="21" t="s">
        <v>1782</v>
      </c>
    </row>
    <row r="5" spans="2:11" ht="37">
      <c r="B5" s="864" t="s">
        <v>1784</v>
      </c>
      <c r="C5" s="949">
        <f>Produktion!C5</f>
        <v>100</v>
      </c>
      <c r="D5" s="848" t="str">
        <f>Produktion!D5</f>
        <v>Arbeitsplatzcomputer, Variante Notebook 3 Jahre</v>
      </c>
      <c r="F5" s="996" t="s">
        <v>1886</v>
      </c>
    </row>
    <row r="6" spans="2:11" ht="18.5">
      <c r="B6" s="37"/>
      <c r="F6" s="996" t="s">
        <v>1887</v>
      </c>
    </row>
    <row r="7" spans="2:11">
      <c r="B7" s="15"/>
      <c r="C7" s="863" t="s">
        <v>353</v>
      </c>
      <c r="D7" s="21" t="s">
        <v>228</v>
      </c>
      <c r="F7" s="996" t="s">
        <v>1888</v>
      </c>
    </row>
    <row r="8" spans="2:11" ht="15.5">
      <c r="B8" s="851" t="s">
        <v>1909</v>
      </c>
      <c r="C8" s="600">
        <f>IFERROR(IF(Produktion!$C$11=0,'THG-Emissionen ohne Zertifikat'!F97,'THG-Emissionen mit Zertifikat'!E68),0)</f>
        <v>10</v>
      </c>
      <c r="D8" s="600" t="str">
        <f>IFERROR(IF(Produktion!$C$11=0,'THG-Emissionen ohne Zertifikat'!G97,'THG-Emissionen mit Zertifikat'!F68),0)</f>
        <v xml:space="preserve">Jahr(e) </v>
      </c>
    </row>
    <row r="9" spans="2:11" ht="15.5">
      <c r="B9" s="851" t="s">
        <v>400</v>
      </c>
      <c r="C9" s="600">
        <f>IFERROR(IF(Produktion!$C$11=0,'THG-Emissionen ohne Zertifikat'!F98,'THG-Emissionen mit Zertifikat'!E69),0)</f>
        <v>1218</v>
      </c>
      <c r="D9" s="600" t="str">
        <f>IFERROR(IF(Produktion!$C$11=0,'THG-Emissionen ohne Zertifikat'!G98,'THG-Emissionen mit Zertifikat'!F69),0)</f>
        <v>Stunden</v>
      </c>
    </row>
    <row r="10" spans="2:11" ht="15.5">
      <c r="B10" s="852" t="s">
        <v>401</v>
      </c>
      <c r="C10" s="847">
        <f>IFERROR(IF(Produktion!$C$11=0,'THG-Emissionen ohne Zertifikat'!F99,'THG-Emissionen mit Zertifikat'!E70),0)</f>
        <v>12180</v>
      </c>
      <c r="D10" s="847" t="str">
        <f>IFERROR(IF(Produktion!$C$11=0,'THG-Emissionen ohne Zertifikat'!G99,'THG-Emissionen mit Zertifikat'!F70),0)</f>
        <v>Stunden</v>
      </c>
    </row>
    <row r="11" spans="2:11">
      <c r="B11" s="14"/>
      <c r="C11" s="14"/>
      <c r="D11" s="14"/>
    </row>
    <row r="12" spans="2:11" ht="16.5">
      <c r="B12" s="19"/>
      <c r="C12" s="20" t="s">
        <v>379</v>
      </c>
      <c r="D12" s="21" t="s">
        <v>354</v>
      </c>
    </row>
    <row r="13" spans="2:11" ht="37">
      <c r="B13" s="44" t="s">
        <v>1783</v>
      </c>
      <c r="C13" s="950">
        <f>SUM(I25:I32)+SUM(I18:I20)</f>
        <v>169.0002677832</v>
      </c>
      <c r="D13" s="545">
        <f>SUM(J25:J32)</f>
        <v>0</v>
      </c>
    </row>
    <row r="14" spans="2:11">
      <c r="B14" s="14"/>
      <c r="C14" s="14"/>
    </row>
    <row r="15" spans="2:11">
      <c r="B15" s="36" t="s">
        <v>1928</v>
      </c>
      <c r="C15" s="16"/>
      <c r="D15" s="16"/>
      <c r="E15" s="16"/>
      <c r="F15" s="16"/>
      <c r="G15" s="16"/>
      <c r="H15" s="16"/>
      <c r="I15" s="16"/>
      <c r="J15" s="16"/>
      <c r="K15" s="17"/>
    </row>
    <row r="16" spans="2:11">
      <c r="B16" s="23"/>
      <c r="K16" s="24"/>
    </row>
    <row r="17" spans="2:12" ht="16.5">
      <c r="B17" s="26" t="s">
        <v>359</v>
      </c>
      <c r="C17" s="27" t="s">
        <v>287</v>
      </c>
      <c r="D17" s="77" t="s">
        <v>402</v>
      </c>
      <c r="E17" s="602" t="s">
        <v>228</v>
      </c>
      <c r="F17" s="77" t="s">
        <v>403</v>
      </c>
      <c r="G17" s="602" t="s">
        <v>404</v>
      </c>
      <c r="H17" s="77" t="s">
        <v>362</v>
      </c>
      <c r="I17" s="77" t="s">
        <v>384</v>
      </c>
      <c r="J17" s="77" t="s">
        <v>364</v>
      </c>
      <c r="K17" s="120" t="s">
        <v>365</v>
      </c>
    </row>
    <row r="18" spans="2:12">
      <c r="B18" s="23"/>
      <c r="C18" s="159" t="str">
        <f>IF(Produktion!$C$11=0,'THG-Emissionen ohne Zertifikat'!F102,'THG-Emissionen mit Zertifikat'!E73)</f>
        <v>Strommix_DE_kWh</v>
      </c>
      <c r="D18" s="865">
        <f>IFERROR(IF(Produktion!$C$11=0,'THG-Emissionen ohne Zertifikat'!G102,'THG-Emissionen mit Zertifikat'!F73),0)</f>
        <v>11.010719999999999</v>
      </c>
      <c r="E18" s="159" t="str">
        <f>IFERROR(VLOOKUP(C18,Emissionsfaktoren_Prozesse!$E$4:$F$103,2,FALSE),"")</f>
        <v>kWh</v>
      </c>
      <c r="F18" s="865">
        <f>IFERROR(IF(E18="kWh",D18,D18*VLOOKUP(C18,Emissionsfaktoren_Prozesse!$E$4:$I$103,5,FALSE)*VLOOKUP(C18,Emissionsfaktoren_Prozesse!$E$4:$G$103,3,FALSE)),0)</f>
        <v>11.010719999999999</v>
      </c>
      <c r="G18" s="159" t="str">
        <f>D10</f>
        <v>Stunden</v>
      </c>
      <c r="H18" s="849">
        <f>IFERROR(VLOOKUP(C18,Emissionsfaktoren_Prozesse!$E$4:$N$103,10,FALSE),0)</f>
        <v>0.49803399999999998</v>
      </c>
      <c r="I18" s="945">
        <f>H18*D18*$C$8</f>
        <v>54.837129244799989</v>
      </c>
      <c r="J18" s="945">
        <f>IFERROR(VLOOKUP(C18,Emissionsfaktoren_Prozesse!$E$4:$Q$103,13,FALSE),0)</f>
        <v>0</v>
      </c>
      <c r="K18" s="953">
        <f>IFERROR(J18*D18,"")</f>
        <v>0</v>
      </c>
    </row>
    <row r="19" spans="2:12">
      <c r="B19" s="23"/>
      <c r="C19" s="159" t="str">
        <f>IF(Produktion!$C$11=0,'THG-Emissionen ohne Zertifikat'!F103,'THG-Emissionen mit Zertifikat'!E74)</f>
        <v>Strommix_DE_kWh</v>
      </c>
      <c r="D19" s="865">
        <f>IFERROR(IF(Produktion!$C$11=0,'THG-Emissionen ohne Zertifikat'!G103,'THG-Emissionen mit Zertifikat'!F74),0)</f>
        <v>22.922760000000004</v>
      </c>
      <c r="E19" s="159" t="str">
        <f>IFERROR(VLOOKUP(C19,Emissionsfaktoren_Prozesse!$E$4:$F$103,2,FALSE),"")</f>
        <v>kWh</v>
      </c>
      <c r="F19" s="865">
        <f>IFERROR(IF(E19="kWh",D19,D19*VLOOKUP(C19,Emissionsfaktoren_Prozesse!$E$4:$I$103,5,FALSE)*VLOOKUP(C19,Emissionsfaktoren_Prozesse!$E$4:$G$103,3,FALSE)),0)</f>
        <v>22.922760000000004</v>
      </c>
      <c r="G19" s="159" t="str">
        <f>D10</f>
        <v>Stunden</v>
      </c>
      <c r="H19" s="849">
        <f>IFERROR(VLOOKUP(C19,Emissionsfaktoren_Prozesse!$E$4:$N$103,10,FALSE),0)</f>
        <v>0.49803399999999998</v>
      </c>
      <c r="I19" s="945">
        <f>H19*D19*$C$8</f>
        <v>114.16313853840002</v>
      </c>
      <c r="J19" s="945">
        <f>IFERROR(VLOOKUP(C19,Emissionsfaktoren_Prozesse!$E$4:$Q$103,13,FALSE),0)</f>
        <v>0</v>
      </c>
      <c r="K19" s="953">
        <f>IFERROR(J19*D19,"")</f>
        <v>0</v>
      </c>
    </row>
    <row r="20" spans="2:12">
      <c r="B20" s="31"/>
      <c r="C20" s="601" t="str">
        <f>IF(Produktion!$C$11=0,'THG-Emissionen ohne Zertifikat'!F104,'THG-Emissionen mit Zertifikat'!E75)</f>
        <v>[Bitte auswählen]</v>
      </c>
      <c r="D20" s="866">
        <f>IFERROR(IF(Produktion!$C$11=0,'THG-Emissionen ohne Zertifikat'!G104,'THG-Emissionen mit Zertifikat'!F75),0)</f>
        <v>0</v>
      </c>
      <c r="E20" s="601" t="str">
        <f>IFERROR(VLOOKUP(C20,Emissionsfaktoren_Prozesse!$E$4:$F$103,2,FALSE),"")</f>
        <v/>
      </c>
      <c r="F20" s="866">
        <f>IFERROR(IF(E20="kWh",D20,D20*VLOOKUP(C20,Emissionsfaktoren_Prozesse!$E$4:$I$103,5,FALSE)*VLOOKUP(C20,Emissionsfaktoren_Prozesse!$E$4:$G$103,3,FALSE)),0)</f>
        <v>0</v>
      </c>
      <c r="G20" s="601" t="str">
        <f>D10</f>
        <v>Stunden</v>
      </c>
      <c r="H20" s="850">
        <f>IFERROR(VLOOKUP(C20,Emissionsfaktoren_Prozesse!$E$4:$N$103,10,FALSE),0)</f>
        <v>0</v>
      </c>
      <c r="I20" s="952">
        <f t="shared" ref="I20" si="0">H20*D20*$C$8</f>
        <v>0</v>
      </c>
      <c r="J20" s="952">
        <f>IFERROR(VLOOKUP(C20,Emissionsfaktoren_Prozesse!$E$4:$Q$103,13,FALSE),0)</f>
        <v>0</v>
      </c>
      <c r="K20" s="954">
        <f>IFERROR(J20*D20,"")</f>
        <v>0</v>
      </c>
    </row>
    <row r="23" spans="2:12">
      <c r="B23" s="36" t="s">
        <v>405</v>
      </c>
      <c r="C23" s="16"/>
      <c r="D23" s="16"/>
      <c r="E23" s="16"/>
      <c r="F23" s="16"/>
      <c r="G23" s="16"/>
      <c r="H23" s="16"/>
      <c r="I23" s="16"/>
      <c r="J23" s="16"/>
      <c r="K23" s="17"/>
    </row>
    <row r="24" spans="2:12" ht="30">
      <c r="B24" s="26" t="s">
        <v>359</v>
      </c>
      <c r="C24" s="27" t="s">
        <v>406</v>
      </c>
      <c r="F24" s="28" t="s">
        <v>407</v>
      </c>
      <c r="G24" s="27" t="s">
        <v>404</v>
      </c>
      <c r="H24" s="77" t="s">
        <v>362</v>
      </c>
      <c r="I24" s="77" t="s">
        <v>384</v>
      </c>
      <c r="J24" s="27"/>
      <c r="K24" s="39"/>
      <c r="L24" s="40"/>
    </row>
    <row r="25" spans="2:12">
      <c r="B25" s="23"/>
      <c r="C25" s="159" t="str">
        <f>IFERROR(IF(Produktion!$C$11=0,'THG-Emissionen ohne Zertifikat'!F109,'THG-Emissionen mit Zertifikat'!E80),0)</f>
        <v>[Bitte auswählen]</v>
      </c>
      <c r="F25" s="159">
        <f>IFERROR(IF(Produktion!$C$11=0,'THG-Emissionen ohne Zertifikat'!G109,'THG-Emissionen mit Zertifikat'!F80),0)</f>
        <v>0</v>
      </c>
      <c r="G25" s="159" t="str">
        <f>IFERROR(VLOOKUP(C25,Emissionsfaktoren_Lebenszyklus!$C$5:$J$17,8,FALSE),"")</f>
        <v/>
      </c>
      <c r="H25" s="945">
        <f>IFERROR(IF(Produktion!$C$11=0,IFERROR(VLOOKUP(C25,Emissionsfaktoren_Lebenszyklus!$C$5:$J$17,6,FALSE),'THG-Emissionen ohne Zertifikat'!H109),IFERROR(VLOOKUP(C25,Emissionsfaktoren_Lebenszyklus!$C$5:$J$17,6,FALSE),'THG-Emissionen mit Zertifikat'!G80)),0)</f>
        <v>0</v>
      </c>
      <c r="I25" s="951">
        <f t="shared" ref="I25:I32" si="1">IFERROR(H25*F25,0)</f>
        <v>0</v>
      </c>
      <c r="K25" s="41"/>
      <c r="L25" s="42"/>
    </row>
    <row r="26" spans="2:12">
      <c r="B26" s="23"/>
      <c r="C26" s="159" t="str">
        <f>IFERROR(IF(Produktion!$C$11=0,'THG-Emissionen ohne Zertifikat'!F111,'THG-Emissionen mit Zertifikat'!E82),0)</f>
        <v>[Bitte auswählen]</v>
      </c>
      <c r="F26" s="159">
        <f>IFERROR(IF(Produktion!$C$11=0,'THG-Emissionen ohne Zertifikat'!G111,'THG-Emissionen mit Zertifikat'!F82),0)</f>
        <v>0</v>
      </c>
      <c r="G26" s="159" t="str">
        <f>IFERROR(VLOOKUP(C26,Emissionsfaktoren_Lebenszyklus!$C$5:$J$17,8,FALSE),"")</f>
        <v/>
      </c>
      <c r="H26" s="945">
        <f>IFERROR(IF(Produktion!$C$11=0,IFERROR(VLOOKUP(C26,Emissionsfaktoren_Lebenszyklus!$C$5:$J$17,6,FALSE),'THG-Emissionen ohne Zertifikat'!H111),IFERROR(VLOOKUP(C26,Emissionsfaktoren_Lebenszyklus!$C$5:$J$17,6,FALSE),'THG-Emissionen mit Zertifikat'!G82)),0)</f>
        <v>0</v>
      </c>
      <c r="I26" s="951">
        <f t="shared" si="1"/>
        <v>0</v>
      </c>
      <c r="K26" s="41"/>
      <c r="L26" s="42"/>
    </row>
    <row r="27" spans="2:12">
      <c r="B27" s="23"/>
      <c r="C27" s="159" t="str">
        <f>IFERROR(IF(Produktion!$C$11=0,'THG-Emissionen ohne Zertifikat'!F113,'THG-Emissionen mit Zertifikat'!E84),0)</f>
        <v>[Bitte auswählen]</v>
      </c>
      <c r="F27" s="159">
        <f>IFERROR(IF(Produktion!$C$11=0,'THG-Emissionen ohne Zertifikat'!G113,'THG-Emissionen mit Zertifikat'!F84),0)</f>
        <v>0</v>
      </c>
      <c r="G27" s="159" t="str">
        <f>IFERROR(VLOOKUP(C27,Emissionsfaktoren_Lebenszyklus!$C$5:$J$17,8,FALSE),"")</f>
        <v/>
      </c>
      <c r="H27" s="945">
        <f>IFERROR(IF(Produktion!$C$11=0,IFERROR(VLOOKUP(C27,Emissionsfaktoren_Lebenszyklus!$C$5:$J$17,6,FALSE),'THG-Emissionen ohne Zertifikat'!H113),IFERROR(VLOOKUP(C27,Emissionsfaktoren_Lebenszyklus!$C$5:$J$17,6,FALSE),'THG-Emissionen mit Zertifikat'!G84)),0)</f>
        <v>0</v>
      </c>
      <c r="I27" s="951">
        <f t="shared" si="1"/>
        <v>0</v>
      </c>
      <c r="K27" s="41"/>
      <c r="L27" s="42"/>
    </row>
    <row r="28" spans="2:12">
      <c r="B28" s="23"/>
      <c r="C28" s="159" t="str">
        <f>IFERROR(IF(Produktion!$C$11=0,'THG-Emissionen ohne Zertifikat'!F115,'THG-Emissionen mit Zertifikat'!E86),0)</f>
        <v>[Bitte auswählen]</v>
      </c>
      <c r="F28" s="159">
        <f>IFERROR(IF(Produktion!$C$11=0,'THG-Emissionen ohne Zertifikat'!G115,'THG-Emissionen mit Zertifikat'!F86),0)</f>
        <v>0</v>
      </c>
      <c r="G28" s="159" t="str">
        <f>IFERROR(VLOOKUP(C28,Emissionsfaktoren_Lebenszyklus!$C$5:$J$17,8,FALSE),"")</f>
        <v/>
      </c>
      <c r="H28" s="945">
        <f>IFERROR(IF(Produktion!$C$11=0,IFERROR(VLOOKUP(C28,Emissionsfaktoren_Lebenszyklus!$C$5:$J$17,6,FALSE),'THG-Emissionen ohne Zertifikat'!H115),IFERROR(VLOOKUP(C28,Emissionsfaktoren_Lebenszyklus!$C$5:$J$17,6,FALSE),'THG-Emissionen mit Zertifikat'!G86)),0)</f>
        <v>0</v>
      </c>
      <c r="I28" s="951">
        <f t="shared" si="1"/>
        <v>0</v>
      </c>
      <c r="K28" s="41"/>
      <c r="L28" s="42"/>
    </row>
    <row r="29" spans="2:12">
      <c r="B29" s="23"/>
      <c r="C29" s="159" t="str">
        <f>IFERROR(IF(Produktion!$C$11=0,'THG-Emissionen ohne Zertifikat'!F117,'THG-Emissionen mit Zertifikat'!E88),0)</f>
        <v>[Bitte auswählen]</v>
      </c>
      <c r="F29" s="159">
        <f>IFERROR(IF(Produktion!$C$11=0,'THG-Emissionen ohne Zertifikat'!G117,'THG-Emissionen mit Zertifikat'!F88),0)</f>
        <v>0</v>
      </c>
      <c r="G29" s="159" t="str">
        <f>IFERROR(VLOOKUP(C29,Emissionsfaktoren_Lebenszyklus!$C$5:$J$17,8,FALSE),"")</f>
        <v/>
      </c>
      <c r="H29" s="945">
        <f>IFERROR(IF(Produktion!$C$11=0,IFERROR(VLOOKUP(C29,Emissionsfaktoren_Lebenszyklus!$C$5:$J$17,6,FALSE),'THG-Emissionen ohne Zertifikat'!H117),IFERROR(VLOOKUP(C29,Emissionsfaktoren_Lebenszyklus!$C$5:$J$17,6,FALSE),'THG-Emissionen mit Zertifikat'!G88)),0)</f>
        <v>0</v>
      </c>
      <c r="I29" s="951">
        <f t="shared" si="1"/>
        <v>0</v>
      </c>
      <c r="J29" s="6"/>
      <c r="K29" s="41"/>
      <c r="L29" s="42"/>
    </row>
    <row r="30" spans="2:12">
      <c r="B30" s="23"/>
      <c r="C30" s="159" t="str">
        <f>IFERROR(IF(Produktion!$C$11=0,'THG-Emissionen ohne Zertifikat'!F119,'THG-Emissionen mit Zertifikat'!E90),0)</f>
        <v>[Bitte auswählen]</v>
      </c>
      <c r="F30" s="159">
        <f>IFERROR(IF(Produktion!$C$11=0,'THG-Emissionen ohne Zertifikat'!G119,'THG-Emissionen mit Zertifikat'!F90),0)</f>
        <v>0</v>
      </c>
      <c r="G30" s="159" t="str">
        <f>IFERROR(VLOOKUP(C30,Emissionsfaktoren_Lebenszyklus!$C$5:$J$17,8,FALSE),"")</f>
        <v/>
      </c>
      <c r="H30" s="945">
        <f>IFERROR(IF(Produktion!$C$11=0,IFERROR(VLOOKUP(C30,Emissionsfaktoren_Lebenszyklus!$C$5:$J$17,6,FALSE),'THG-Emissionen ohne Zertifikat'!H119),IFERROR(VLOOKUP(C30,Emissionsfaktoren_Lebenszyklus!$C$5:$J$17,6,FALSE),'THG-Emissionen mit Zertifikat'!G90)),0)</f>
        <v>0</v>
      </c>
      <c r="I30" s="951">
        <f t="shared" si="1"/>
        <v>0</v>
      </c>
      <c r="K30" s="41"/>
      <c r="L30" s="42"/>
    </row>
    <row r="31" spans="2:12">
      <c r="B31" s="23"/>
      <c r="C31" s="159" t="str">
        <f>IFERROR(IF(Produktion!$C$11=0,'THG-Emissionen ohne Zertifikat'!F121,'THG-Emissionen mit Zertifikat'!E92),0)</f>
        <v>[Bitte auswählen]</v>
      </c>
      <c r="F31" s="159">
        <f>IFERROR(IF(Produktion!$C$11=0,'THG-Emissionen ohne Zertifikat'!G121,'THG-Emissionen mit Zertifikat'!F92),0)</f>
        <v>0</v>
      </c>
      <c r="G31" s="159" t="str">
        <f>IFERROR(VLOOKUP(C31,Emissionsfaktoren_Lebenszyklus!$C$5:$J$17,8,FALSE),"")</f>
        <v/>
      </c>
      <c r="H31" s="945">
        <f>IFERROR(IF(Produktion!$C$11=0,IFERROR(VLOOKUP(C31,Emissionsfaktoren_Lebenszyklus!$C$5:$J$17,6,FALSE),'THG-Emissionen ohne Zertifikat'!H121),IFERROR(VLOOKUP(C31,Emissionsfaktoren_Lebenszyklus!$C$5:$J$17,6,FALSE),'THG-Emissionen mit Zertifikat'!G92)),0)</f>
        <v>0</v>
      </c>
      <c r="I31" s="951">
        <f t="shared" si="1"/>
        <v>0</v>
      </c>
      <c r="K31" s="41"/>
      <c r="L31" s="42"/>
    </row>
    <row r="32" spans="2:12">
      <c r="B32" s="23"/>
      <c r="C32" s="159" t="str">
        <f>IFERROR(IF(Produktion!$C$11=0,'THG-Emissionen ohne Zertifikat'!F123,'THG-Emissionen mit Zertifikat'!E94),0)</f>
        <v>[Bitte auswählen]</v>
      </c>
      <c r="F32" s="159">
        <f>IFERROR(IF(Produktion!$C$11=0,'THG-Emissionen ohne Zertifikat'!G123,'THG-Emissionen mit Zertifikat'!F94),0)</f>
        <v>0</v>
      </c>
      <c r="G32" s="159" t="str">
        <f>IFERROR(VLOOKUP(C32,Emissionsfaktoren_Lebenszyklus!$C$5:$J$17,8,FALSE),"")</f>
        <v/>
      </c>
      <c r="H32" s="945">
        <f>IFERROR(IF(Produktion!$C$11=0,IFERROR(VLOOKUP(C32,Emissionsfaktoren_Lebenszyklus!$C$5:$J$17,6,FALSE),'THG-Emissionen ohne Zertifikat'!H123),IFERROR(VLOOKUP(C32,Emissionsfaktoren_Lebenszyklus!$C$5:$J$17,6,FALSE),'THG-Emissionen mit Zertifikat'!G94)),0)</f>
        <v>0</v>
      </c>
      <c r="I32" s="951">
        <f t="shared" si="1"/>
        <v>0</v>
      </c>
      <c r="K32" s="41"/>
      <c r="L32" s="42"/>
    </row>
    <row r="33" spans="2:11">
      <c r="B33" s="31"/>
      <c r="C33" s="32"/>
      <c r="D33" s="32"/>
      <c r="E33" s="32"/>
      <c r="F33" s="32"/>
      <c r="G33" s="38"/>
      <c r="H33" s="32"/>
      <c r="I33" s="32"/>
      <c r="J33" s="32"/>
      <c r="K33" s="33"/>
    </row>
  </sheetData>
  <mergeCells count="1">
    <mergeCell ref="B2:H2"/>
  </mergeCells>
  <hyperlinks>
    <hyperlink ref="F5" location="'Aufbau LCC-CO2-Tool'!A1" display="zurück zur Übersicht" xr:uid="{F380C6AF-FC4B-4FC5-B805-C0B02145B486}"/>
    <hyperlink ref="F6" location="'Anleitung für Beschaffende'!A47" display="zurück zur Anleitung für Beschaffende " xr:uid="{49B0001F-A055-41D6-9048-3E71C5F89AA0}"/>
    <hyperlink ref="F7" location="'Anleitung für Bietende'!A44" display="zurück zur Anleitung für Bietende" xr:uid="{5BF5CF71-C4BB-4CB5-8392-764E1FAED721}"/>
  </hyperlinks>
  <pageMargins left="0.70866141732283472" right="0.70866141732283472" top="0.74803149606299213" bottom="0.74803149606299213" header="0.31496062992125984" footer="0.31496062992125984"/>
  <pageSetup paperSize="9" orientation="portrait" r:id="rId1"/>
  <headerFooter>
    <oddHeader>&amp;C&amp;14&amp;KFF0000TESTVERSION!</oddHeader>
    <oddFooter>&amp;L&amp;8LCC-CO2-Tool - Arbeitshilfe des Umweltbundesamtes&amp;C&amp;8Hintergrundberechnungen Nutzung&amp;R&amp;8&amp;P</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theme="0"/>
  </sheetPr>
  <dimension ref="A1:P453"/>
  <sheetViews>
    <sheetView showGridLines="0" zoomScale="90" zoomScaleNormal="90" workbookViewId="0">
      <pane ySplit="2" topLeftCell="A41" activePane="bottomLeft" state="frozen"/>
      <selection pane="bottomLeft"/>
    </sheetView>
  </sheetViews>
  <sheetFormatPr baseColWidth="10" defaultColWidth="8" defaultRowHeight="14.5"/>
  <cols>
    <col min="1" max="1" width="2.08203125" style="2" customWidth="1"/>
    <col min="2" max="2" width="2.58203125" style="2" customWidth="1"/>
    <col min="3" max="3" width="49.33203125" style="2" customWidth="1"/>
    <col min="4" max="4" width="43.75" style="2" bestFit="1" customWidth="1"/>
    <col min="5" max="7" width="15.08203125" style="2" customWidth="1"/>
    <col min="8" max="8" width="8" style="2"/>
    <col min="9" max="9" width="9" style="2" customWidth="1"/>
    <col min="10" max="10" width="9.08203125" style="2" bestFit="1" customWidth="1"/>
    <col min="11" max="11" width="9.58203125" style="2" customWidth="1"/>
    <col min="12" max="12" width="14.25" style="2" customWidth="1"/>
    <col min="13" max="13" width="85.08203125" style="45" customWidth="1"/>
    <col min="14" max="14" width="31.58203125" style="2" customWidth="1"/>
    <col min="15" max="16384" width="8" style="2"/>
  </cols>
  <sheetData>
    <row r="1" spans="3:16" ht="66.650000000000006" customHeight="1">
      <c r="C1" s="95" t="s">
        <v>408</v>
      </c>
    </row>
    <row r="2" spans="3:16" ht="15.5">
      <c r="C2" s="113" t="s">
        <v>409</v>
      </c>
      <c r="D2" s="113" t="s">
        <v>410</v>
      </c>
      <c r="E2" s="113" t="s">
        <v>411</v>
      </c>
      <c r="F2" s="113" t="s">
        <v>412</v>
      </c>
      <c r="G2" s="113" t="s">
        <v>413</v>
      </c>
      <c r="H2" s="114" t="s">
        <v>414</v>
      </c>
      <c r="I2" s="113" t="s">
        <v>228</v>
      </c>
      <c r="J2" s="114" t="s">
        <v>346</v>
      </c>
      <c r="K2" s="113" t="s">
        <v>415</v>
      </c>
      <c r="L2" s="113" t="s">
        <v>416</v>
      </c>
      <c r="M2" s="115" t="s">
        <v>229</v>
      </c>
      <c r="N2" s="353" t="s">
        <v>417</v>
      </c>
    </row>
    <row r="3" spans="3:16" hidden="1">
      <c r="C3" s="2" t="s">
        <v>128</v>
      </c>
      <c r="D3" s="2" t="s">
        <v>128</v>
      </c>
    </row>
    <row r="4" spans="3:16" ht="32.5">
      <c r="C4" s="361" t="s">
        <v>418</v>
      </c>
      <c r="D4" s="361" t="s">
        <v>419</v>
      </c>
      <c r="E4" s="361"/>
      <c r="F4" s="361"/>
      <c r="G4" s="361"/>
      <c r="H4" s="546">
        <v>843</v>
      </c>
      <c r="I4" s="361" t="s">
        <v>420</v>
      </c>
      <c r="J4" s="361">
        <v>0</v>
      </c>
      <c r="K4" s="361" t="s">
        <v>421</v>
      </c>
      <c r="L4" s="361" t="s">
        <v>422</v>
      </c>
      <c r="M4" s="45" t="s">
        <v>423</v>
      </c>
      <c r="P4" s="996" t="s">
        <v>1886</v>
      </c>
    </row>
    <row r="5" spans="3:16">
      <c r="C5" s="361" t="s">
        <v>424</v>
      </c>
      <c r="D5" s="361" t="s">
        <v>425</v>
      </c>
      <c r="E5" s="361"/>
      <c r="F5" s="361"/>
      <c r="G5" s="361"/>
      <c r="H5" s="546">
        <v>3.0517370000000001</v>
      </c>
      <c r="I5" s="361" t="s">
        <v>420</v>
      </c>
      <c r="J5" s="361"/>
      <c r="K5" s="361"/>
      <c r="L5" s="361" t="s">
        <v>247</v>
      </c>
      <c r="M5" s="45" t="s">
        <v>426</v>
      </c>
      <c r="P5" s="996" t="s">
        <v>1887</v>
      </c>
    </row>
    <row r="6" spans="3:16">
      <c r="C6" s="361" t="s">
        <v>427</v>
      </c>
      <c r="D6" s="361" t="s">
        <v>427</v>
      </c>
      <c r="E6" s="361"/>
      <c r="F6" s="361"/>
      <c r="G6" s="361"/>
      <c r="H6" s="546">
        <v>11.904</v>
      </c>
      <c r="I6" s="361" t="s">
        <v>420</v>
      </c>
      <c r="J6" s="361"/>
      <c r="K6" s="361"/>
      <c r="L6" s="361" t="s">
        <v>247</v>
      </c>
      <c r="M6" s="46" t="s">
        <v>428</v>
      </c>
      <c r="P6" s="996" t="s">
        <v>1888</v>
      </c>
    </row>
    <row r="7" spans="3:16" ht="22">
      <c r="C7" s="361" t="s">
        <v>429</v>
      </c>
      <c r="D7" s="361" t="s">
        <v>429</v>
      </c>
      <c r="E7" s="361"/>
      <c r="F7" s="361"/>
      <c r="G7" s="361"/>
      <c r="H7" s="546">
        <v>8.4</v>
      </c>
      <c r="I7" s="361" t="s">
        <v>420</v>
      </c>
      <c r="J7" s="361">
        <v>136</v>
      </c>
      <c r="K7" s="361" t="s">
        <v>421</v>
      </c>
      <c r="L7" s="361" t="s">
        <v>247</v>
      </c>
      <c r="M7" s="45" t="s">
        <v>430</v>
      </c>
    </row>
    <row r="8" spans="3:16" ht="32.5">
      <c r="C8" s="361" t="s">
        <v>431</v>
      </c>
      <c r="D8" s="361" t="s">
        <v>432</v>
      </c>
      <c r="E8" s="361"/>
      <c r="F8" s="361"/>
      <c r="G8" s="361"/>
      <c r="H8" s="4">
        <v>4.3999999999999997E-2</v>
      </c>
      <c r="I8" s="361" t="s">
        <v>420</v>
      </c>
      <c r="J8" s="361">
        <v>3.56</v>
      </c>
      <c r="K8" s="361" t="s">
        <v>421</v>
      </c>
      <c r="L8" s="361" t="s">
        <v>247</v>
      </c>
      <c r="M8" s="202" t="s">
        <v>433</v>
      </c>
    </row>
    <row r="9" spans="3:16">
      <c r="C9" s="361" t="s">
        <v>434</v>
      </c>
      <c r="D9" s="361" t="s">
        <v>434</v>
      </c>
      <c r="E9" s="361">
        <v>3.9399999999999998E-2</v>
      </c>
      <c r="F9" s="361"/>
      <c r="G9" s="361"/>
      <c r="H9" s="4">
        <v>0.04</v>
      </c>
      <c r="I9" s="361" t="s">
        <v>420</v>
      </c>
      <c r="J9" s="361"/>
      <c r="K9" s="361"/>
      <c r="L9" s="361" t="s">
        <v>247</v>
      </c>
      <c r="M9" s="104" t="s">
        <v>435</v>
      </c>
    </row>
    <row r="10" spans="3:16" ht="53.5">
      <c r="C10" s="361" t="s">
        <v>436</v>
      </c>
      <c r="D10" s="361" t="s">
        <v>437</v>
      </c>
      <c r="E10" s="361"/>
      <c r="F10" s="361"/>
      <c r="G10" s="361"/>
      <c r="H10" s="4">
        <v>0.16</v>
      </c>
      <c r="I10" s="361" t="s">
        <v>420</v>
      </c>
      <c r="J10" s="361">
        <v>0.94</v>
      </c>
      <c r="K10" s="361" t="s">
        <v>421</v>
      </c>
      <c r="L10" s="361" t="s">
        <v>247</v>
      </c>
      <c r="M10" s="202" t="s">
        <v>438</v>
      </c>
    </row>
    <row r="11" spans="3:16">
      <c r="C11" s="361" t="s">
        <v>439</v>
      </c>
      <c r="D11" s="361" t="s">
        <v>439</v>
      </c>
      <c r="E11" s="361"/>
      <c r="F11" s="361"/>
      <c r="G11" s="361"/>
      <c r="H11" s="4">
        <v>0.19</v>
      </c>
      <c r="I11" s="361" t="s">
        <v>420</v>
      </c>
      <c r="J11" s="546">
        <v>42.4</v>
      </c>
      <c r="K11" s="361" t="s">
        <v>421</v>
      </c>
      <c r="L11" s="361" t="s">
        <v>247</v>
      </c>
      <c r="M11" s="202" t="s">
        <v>440</v>
      </c>
    </row>
    <row r="12" spans="3:16" ht="22">
      <c r="C12" s="361" t="s">
        <v>441</v>
      </c>
      <c r="D12" s="361" t="s">
        <v>441</v>
      </c>
      <c r="E12" s="361"/>
      <c r="F12" s="361"/>
      <c r="G12" s="361"/>
      <c r="H12" s="4">
        <v>4.1000000000000002E-2</v>
      </c>
      <c r="I12" s="361" t="s">
        <v>420</v>
      </c>
      <c r="J12" s="361">
        <v>2.4700000000000002</v>
      </c>
      <c r="K12" s="361" t="s">
        <v>421</v>
      </c>
      <c r="L12" s="361" t="s">
        <v>247</v>
      </c>
      <c r="M12" s="45" t="s">
        <v>442</v>
      </c>
    </row>
    <row r="13" spans="3:16">
      <c r="C13" s="361" t="s">
        <v>443</v>
      </c>
      <c r="D13" s="361" t="s">
        <v>443</v>
      </c>
      <c r="E13" s="361">
        <v>1.69</v>
      </c>
      <c r="F13" s="361"/>
      <c r="G13" s="361"/>
      <c r="H13" s="4">
        <v>1.89</v>
      </c>
      <c r="I13" s="361" t="s">
        <v>420</v>
      </c>
      <c r="J13" s="361"/>
      <c r="K13" s="361"/>
      <c r="L13" s="361" t="s">
        <v>247</v>
      </c>
      <c r="M13" s="203" t="s">
        <v>444</v>
      </c>
    </row>
    <row r="14" spans="3:16">
      <c r="C14" s="592" t="s">
        <v>1410</v>
      </c>
      <c r="D14" s="592" t="s">
        <v>1410</v>
      </c>
      <c r="E14" s="361"/>
      <c r="F14" s="361"/>
      <c r="G14" s="361"/>
      <c r="H14" s="4">
        <v>0.57999999999999996</v>
      </c>
      <c r="I14" s="361" t="s">
        <v>420</v>
      </c>
      <c r="J14" s="546">
        <v>10</v>
      </c>
      <c r="K14" s="361" t="s">
        <v>421</v>
      </c>
      <c r="L14" s="361" t="s">
        <v>247</v>
      </c>
      <c r="M14" s="45" t="s">
        <v>445</v>
      </c>
    </row>
    <row r="15" spans="3:16">
      <c r="C15" s="361" t="s">
        <v>446</v>
      </c>
      <c r="D15" s="361" t="s">
        <v>447</v>
      </c>
      <c r="E15" s="361"/>
      <c r="F15" s="361"/>
      <c r="G15" s="361"/>
      <c r="H15" s="4">
        <v>13.31</v>
      </c>
      <c r="I15" s="361" t="s">
        <v>420</v>
      </c>
      <c r="J15" s="361"/>
      <c r="K15" s="361"/>
      <c r="L15" s="361" t="s">
        <v>448</v>
      </c>
      <c r="M15" s="202" t="s">
        <v>449</v>
      </c>
    </row>
    <row r="16" spans="3:16">
      <c r="C16" s="361" t="s">
        <v>450</v>
      </c>
      <c r="D16" s="361" t="s">
        <v>451</v>
      </c>
      <c r="E16" s="361"/>
      <c r="F16" s="361"/>
      <c r="G16" s="361"/>
      <c r="H16" s="4">
        <v>0.249</v>
      </c>
      <c r="I16" s="361" t="s">
        <v>420</v>
      </c>
      <c r="J16" s="361"/>
      <c r="K16" s="361"/>
      <c r="L16" s="361" t="s">
        <v>247</v>
      </c>
      <c r="M16" s="45" t="s">
        <v>452</v>
      </c>
    </row>
    <row r="17" spans="3:13">
      <c r="C17" s="361" t="s">
        <v>453</v>
      </c>
      <c r="D17" s="361" t="s">
        <v>454</v>
      </c>
      <c r="E17" s="361"/>
      <c r="F17" s="361"/>
      <c r="G17" s="361"/>
      <c r="H17" s="4">
        <v>4.9500000000000002E-2</v>
      </c>
      <c r="I17" s="361" t="s">
        <v>420</v>
      </c>
      <c r="J17" s="361"/>
      <c r="K17" s="361"/>
      <c r="L17" s="361" t="s">
        <v>247</v>
      </c>
      <c r="M17" s="45" t="s">
        <v>455</v>
      </c>
    </row>
    <row r="18" spans="3:13">
      <c r="C18" s="361" t="s">
        <v>456</v>
      </c>
      <c r="D18" s="361" t="s">
        <v>457</v>
      </c>
      <c r="E18" s="361"/>
      <c r="F18" s="361"/>
      <c r="G18" s="361"/>
      <c r="H18" s="4">
        <v>93.8</v>
      </c>
      <c r="I18" s="361" t="s">
        <v>420</v>
      </c>
      <c r="J18" s="546">
        <v>2971</v>
      </c>
      <c r="K18" s="361" t="s">
        <v>421</v>
      </c>
      <c r="L18" s="361" t="s">
        <v>458</v>
      </c>
      <c r="M18" s="48" t="s">
        <v>459</v>
      </c>
    </row>
    <row r="19" spans="3:13">
      <c r="C19" s="361" t="s">
        <v>460</v>
      </c>
      <c r="D19" s="361" t="s">
        <v>461</v>
      </c>
      <c r="E19" s="361"/>
      <c r="F19" s="361"/>
      <c r="G19" s="361"/>
      <c r="H19" s="4">
        <v>0.249</v>
      </c>
      <c r="I19" s="361" t="s">
        <v>420</v>
      </c>
      <c r="J19" s="361"/>
      <c r="K19" s="361"/>
      <c r="L19" s="361" t="s">
        <v>247</v>
      </c>
      <c r="M19" s="46" t="s">
        <v>452</v>
      </c>
    </row>
    <row r="20" spans="3:13">
      <c r="C20" s="361" t="s">
        <v>462</v>
      </c>
      <c r="D20" s="361" t="s">
        <v>462</v>
      </c>
      <c r="E20" s="361">
        <v>0.42299999999999999</v>
      </c>
      <c r="F20" s="361"/>
      <c r="G20" s="361"/>
      <c r="H20" s="4">
        <v>3.9699999999999999E-2</v>
      </c>
      <c r="I20" s="361" t="s">
        <v>420</v>
      </c>
      <c r="J20" s="361"/>
      <c r="K20" s="361"/>
      <c r="L20" s="361" t="s">
        <v>247</v>
      </c>
      <c r="M20" s="105" t="s">
        <v>463</v>
      </c>
    </row>
    <row r="21" spans="3:13">
      <c r="C21" s="361" t="s">
        <v>464</v>
      </c>
      <c r="D21" s="361" t="s">
        <v>465</v>
      </c>
      <c r="E21" s="361">
        <v>3.43</v>
      </c>
      <c r="F21" s="361"/>
      <c r="G21" s="361"/>
      <c r="H21" s="4">
        <v>3.5</v>
      </c>
      <c r="I21" s="361" t="s">
        <v>420</v>
      </c>
      <c r="J21" s="361">
        <v>2.84</v>
      </c>
      <c r="K21" s="361" t="s">
        <v>421</v>
      </c>
      <c r="L21" s="361" t="s">
        <v>247</v>
      </c>
      <c r="M21" s="105" t="s">
        <v>466</v>
      </c>
    </row>
    <row r="22" spans="3:13">
      <c r="C22" s="361" t="s">
        <v>467</v>
      </c>
      <c r="D22" s="361" t="s">
        <v>467</v>
      </c>
      <c r="E22" s="361"/>
      <c r="F22" s="361"/>
      <c r="G22" s="361"/>
      <c r="H22" s="4">
        <v>0.98</v>
      </c>
      <c r="I22" s="361" t="s">
        <v>420</v>
      </c>
      <c r="J22" s="546">
        <v>10.1</v>
      </c>
      <c r="K22" s="361" t="s">
        <v>421</v>
      </c>
      <c r="L22" s="361" t="s">
        <v>247</v>
      </c>
      <c r="M22" s="45" t="s">
        <v>468</v>
      </c>
    </row>
    <row r="23" spans="3:13">
      <c r="C23" s="361" t="s">
        <v>469</v>
      </c>
      <c r="D23" s="361" t="s">
        <v>469</v>
      </c>
      <c r="E23" s="361">
        <v>2.04</v>
      </c>
      <c r="F23" s="361"/>
      <c r="G23" s="361"/>
      <c r="H23" s="4">
        <v>2.0299999999999998</v>
      </c>
      <c r="I23" s="361" t="s">
        <v>420</v>
      </c>
      <c r="J23" s="361"/>
      <c r="K23" s="361"/>
      <c r="L23" s="361" t="s">
        <v>247</v>
      </c>
      <c r="M23" s="105" t="s">
        <v>470</v>
      </c>
    </row>
    <row r="24" spans="3:13">
      <c r="C24" s="361" t="s">
        <v>471</v>
      </c>
      <c r="D24" s="361" t="s">
        <v>472</v>
      </c>
      <c r="E24" s="361"/>
      <c r="F24" s="361"/>
      <c r="G24" s="361"/>
      <c r="H24" s="4">
        <v>2.5</v>
      </c>
      <c r="I24" s="361" t="s">
        <v>420</v>
      </c>
      <c r="J24" s="546">
        <v>29.7</v>
      </c>
      <c r="K24" s="361" t="s">
        <v>421</v>
      </c>
      <c r="L24" s="361" t="s">
        <v>247</v>
      </c>
      <c r="M24" s="45" t="s">
        <v>473</v>
      </c>
    </row>
    <row r="25" spans="3:13">
      <c r="C25" s="361" t="s">
        <v>477</v>
      </c>
      <c r="D25" s="361" t="s">
        <v>478</v>
      </c>
      <c r="E25" s="361">
        <v>1.74</v>
      </c>
      <c r="F25" s="361"/>
      <c r="G25" s="361"/>
      <c r="H25" s="4">
        <v>1.91</v>
      </c>
      <c r="I25" s="361" t="s">
        <v>420</v>
      </c>
      <c r="J25" s="361"/>
      <c r="K25" s="361"/>
      <c r="L25" s="361" t="s">
        <v>247</v>
      </c>
      <c r="M25" s="105" t="s">
        <v>479</v>
      </c>
    </row>
    <row r="26" spans="3:13">
      <c r="C26" s="361" t="s">
        <v>480</v>
      </c>
      <c r="D26" s="361" t="s">
        <v>480</v>
      </c>
      <c r="E26" s="361"/>
      <c r="F26" s="361"/>
      <c r="G26" s="361"/>
      <c r="H26" s="4">
        <v>1.1900000000000001E-2</v>
      </c>
      <c r="I26" s="361" t="s">
        <v>420</v>
      </c>
      <c r="J26" s="361"/>
      <c r="K26" s="361"/>
      <c r="L26" s="361" t="s">
        <v>247</v>
      </c>
      <c r="M26" s="45" t="s">
        <v>481</v>
      </c>
    </row>
    <row r="27" spans="3:13">
      <c r="C27" s="361" t="s">
        <v>482</v>
      </c>
      <c r="D27" s="361" t="s">
        <v>483</v>
      </c>
      <c r="E27" s="361"/>
      <c r="F27" s="361"/>
      <c r="G27" s="361"/>
      <c r="H27" s="4">
        <f>281/2403</f>
        <v>0.1169371618809821</v>
      </c>
      <c r="I27" s="361" t="s">
        <v>420</v>
      </c>
      <c r="J27" s="546">
        <f>1306/2403</f>
        <v>0.54348730753225138</v>
      </c>
      <c r="K27" s="361" t="s">
        <v>421</v>
      </c>
      <c r="L27" s="361" t="s">
        <v>247</v>
      </c>
      <c r="M27" s="45" t="s">
        <v>484</v>
      </c>
    </row>
    <row r="28" spans="3:13" ht="22">
      <c r="C28" s="2" t="s">
        <v>485</v>
      </c>
      <c r="D28" s="2" t="s">
        <v>486</v>
      </c>
      <c r="E28" s="4"/>
      <c r="F28" s="4"/>
      <c r="G28" s="4"/>
      <c r="H28" s="4">
        <v>1.98</v>
      </c>
      <c r="I28" s="2" t="s">
        <v>420</v>
      </c>
      <c r="J28" s="4">
        <v>75.75</v>
      </c>
      <c r="K28" s="2" t="s">
        <v>421</v>
      </c>
      <c r="L28" s="2" t="s">
        <v>247</v>
      </c>
      <c r="M28" s="45" t="s">
        <v>487</v>
      </c>
    </row>
    <row r="29" spans="3:13">
      <c r="C29" s="2" t="s">
        <v>488</v>
      </c>
      <c r="D29" s="2" t="s">
        <v>489</v>
      </c>
      <c r="E29" s="4"/>
      <c r="F29" s="4"/>
      <c r="G29" s="4"/>
      <c r="H29" s="4">
        <v>1.35</v>
      </c>
      <c r="I29" s="2" t="s">
        <v>420</v>
      </c>
      <c r="J29" s="4">
        <v>23.5</v>
      </c>
      <c r="K29" s="2" t="s">
        <v>421</v>
      </c>
      <c r="L29" s="2" t="s">
        <v>247</v>
      </c>
      <c r="M29" s="45" t="s">
        <v>490</v>
      </c>
    </row>
    <row r="30" spans="3:13">
      <c r="C30" s="2" t="s">
        <v>491</v>
      </c>
      <c r="D30" s="2" t="s">
        <v>491</v>
      </c>
      <c r="E30" s="4"/>
      <c r="F30" s="4"/>
      <c r="G30" s="4"/>
      <c r="H30" s="4">
        <v>1</v>
      </c>
      <c r="I30" s="2" t="s">
        <v>420</v>
      </c>
      <c r="J30" s="4">
        <v>17</v>
      </c>
      <c r="K30" s="2" t="s">
        <v>421</v>
      </c>
      <c r="L30" s="2" t="s">
        <v>247</v>
      </c>
      <c r="M30" s="45" t="s">
        <v>492</v>
      </c>
    </row>
    <row r="31" spans="3:13">
      <c r="C31" s="2" t="s">
        <v>493</v>
      </c>
      <c r="D31" s="2" t="s">
        <v>494</v>
      </c>
      <c r="E31" s="4"/>
      <c r="F31" s="4"/>
      <c r="G31" s="4"/>
      <c r="H31" s="4">
        <v>1.54</v>
      </c>
      <c r="I31" s="2" t="s">
        <v>420</v>
      </c>
      <c r="J31" s="4">
        <v>28</v>
      </c>
      <c r="K31" s="2" t="s">
        <v>421</v>
      </c>
      <c r="L31" s="2" t="s">
        <v>247</v>
      </c>
      <c r="M31" s="45" t="s">
        <v>495</v>
      </c>
    </row>
    <row r="32" spans="3:13" ht="22">
      <c r="C32" s="2" t="s">
        <v>496</v>
      </c>
      <c r="D32" s="2" t="s">
        <v>496</v>
      </c>
      <c r="E32" s="4"/>
      <c r="F32" s="4"/>
      <c r="G32" s="4"/>
      <c r="H32" s="4">
        <v>0.7</v>
      </c>
      <c r="I32" s="2" t="s">
        <v>420</v>
      </c>
      <c r="J32" s="4">
        <v>11</v>
      </c>
      <c r="K32" s="2" t="s">
        <v>421</v>
      </c>
      <c r="L32" s="2" t="s">
        <v>247</v>
      </c>
      <c r="M32" s="45" t="s">
        <v>497</v>
      </c>
    </row>
    <row r="33" spans="3:13">
      <c r="C33" s="2" t="s">
        <v>498</v>
      </c>
      <c r="D33" s="2" t="s">
        <v>499</v>
      </c>
      <c r="E33" s="4"/>
      <c r="F33" s="4"/>
      <c r="G33" s="4"/>
      <c r="H33" s="4">
        <v>6</v>
      </c>
      <c r="I33" s="2" t="s">
        <v>420</v>
      </c>
      <c r="J33" s="4"/>
      <c r="L33" s="2" t="s">
        <v>247</v>
      </c>
      <c r="M33" s="45" t="s">
        <v>500</v>
      </c>
    </row>
    <row r="34" spans="3:13" ht="32.5">
      <c r="C34" s="507" t="s">
        <v>501</v>
      </c>
      <c r="D34" s="2" t="s">
        <v>502</v>
      </c>
      <c r="E34" s="4"/>
      <c r="F34" s="4"/>
      <c r="G34" s="4"/>
      <c r="H34" s="4">
        <v>2.81E-2</v>
      </c>
      <c r="I34" s="2" t="s">
        <v>420</v>
      </c>
      <c r="J34" s="4">
        <v>2266</v>
      </c>
      <c r="K34" s="2" t="s">
        <v>421</v>
      </c>
      <c r="L34" s="2" t="s">
        <v>247</v>
      </c>
      <c r="M34" s="45" t="s">
        <v>433</v>
      </c>
    </row>
    <row r="35" spans="3:13" ht="43">
      <c r="C35" s="2" t="s">
        <v>197</v>
      </c>
      <c r="D35" s="2" t="s">
        <v>197</v>
      </c>
      <c r="E35" s="4"/>
      <c r="F35" s="4"/>
      <c r="G35" s="4"/>
      <c r="H35" s="4">
        <v>59.2</v>
      </c>
      <c r="I35" s="2" t="s">
        <v>420</v>
      </c>
      <c r="J35" s="4">
        <v>1120</v>
      </c>
      <c r="K35" s="2" t="s">
        <v>421</v>
      </c>
      <c r="L35" s="2" t="s">
        <v>458</v>
      </c>
      <c r="M35" s="45" t="s">
        <v>503</v>
      </c>
    </row>
    <row r="36" spans="3:13" ht="22">
      <c r="C36" s="575" t="s">
        <v>1414</v>
      </c>
      <c r="D36" s="2" t="s">
        <v>504</v>
      </c>
      <c r="H36" s="4">
        <v>5.92</v>
      </c>
      <c r="I36" s="2" t="s">
        <v>420</v>
      </c>
      <c r="L36" s="2" t="s">
        <v>505</v>
      </c>
      <c r="M36" s="46" t="s">
        <v>506</v>
      </c>
    </row>
    <row r="37" spans="3:13">
      <c r="C37" s="361" t="s">
        <v>1415</v>
      </c>
      <c r="D37" s="361" t="s">
        <v>507</v>
      </c>
      <c r="E37" s="361"/>
      <c r="F37" s="361"/>
      <c r="G37" s="361"/>
      <c r="H37" s="546">
        <v>5.5</v>
      </c>
      <c r="I37" s="361" t="s">
        <v>420</v>
      </c>
      <c r="J37" s="361"/>
      <c r="K37" s="361"/>
      <c r="L37" s="361" t="s">
        <v>505</v>
      </c>
      <c r="M37" s="104" t="s">
        <v>508</v>
      </c>
    </row>
    <row r="38" spans="3:13" ht="22">
      <c r="C38" s="507" t="s">
        <v>1416</v>
      </c>
      <c r="D38" s="2" t="s">
        <v>509</v>
      </c>
      <c r="H38" s="4">
        <v>210</v>
      </c>
      <c r="I38" s="2" t="s">
        <v>420</v>
      </c>
      <c r="L38" s="2" t="s">
        <v>505</v>
      </c>
      <c r="M38" s="46" t="s">
        <v>506</v>
      </c>
    </row>
    <row r="39" spans="3:13" ht="22">
      <c r="C39" s="507" t="s">
        <v>1417</v>
      </c>
      <c r="D39" s="2" t="s">
        <v>510</v>
      </c>
      <c r="H39" s="4">
        <v>258</v>
      </c>
      <c r="I39" s="2" t="s">
        <v>420</v>
      </c>
      <c r="L39" s="2" t="s">
        <v>505</v>
      </c>
      <c r="M39" s="46" t="s">
        <v>506</v>
      </c>
    </row>
    <row r="40" spans="3:13" ht="22">
      <c r="C40" s="507" t="s">
        <v>1418</v>
      </c>
      <c r="D40" s="2" t="s">
        <v>511</v>
      </c>
      <c r="H40" s="4">
        <v>306</v>
      </c>
      <c r="I40" s="2" t="s">
        <v>420</v>
      </c>
      <c r="L40" s="2" t="s">
        <v>505</v>
      </c>
      <c r="M40" s="46" t="s">
        <v>506</v>
      </c>
    </row>
    <row r="41" spans="3:13" ht="22">
      <c r="C41" s="507" t="s">
        <v>1419</v>
      </c>
      <c r="D41" s="2" t="s">
        <v>512</v>
      </c>
      <c r="H41" s="4">
        <v>170</v>
      </c>
      <c r="I41" s="2" t="s">
        <v>420</v>
      </c>
      <c r="L41" s="2" t="s">
        <v>505</v>
      </c>
      <c r="M41" s="46" t="s">
        <v>506</v>
      </c>
    </row>
    <row r="42" spans="3:13" ht="22">
      <c r="C42" s="507" t="s">
        <v>1420</v>
      </c>
      <c r="D42" s="2" t="s">
        <v>513</v>
      </c>
      <c r="H42" s="4">
        <v>218</v>
      </c>
      <c r="I42" s="2" t="s">
        <v>420</v>
      </c>
      <c r="L42" s="2" t="s">
        <v>505</v>
      </c>
      <c r="M42" s="46" t="s">
        <v>506</v>
      </c>
    </row>
    <row r="43" spans="3:13" ht="22">
      <c r="C43" s="507" t="s">
        <v>1421</v>
      </c>
      <c r="D43" s="2" t="s">
        <v>514</v>
      </c>
      <c r="H43" s="4">
        <v>266</v>
      </c>
      <c r="I43" s="2" t="s">
        <v>420</v>
      </c>
      <c r="L43" s="2" t="s">
        <v>505</v>
      </c>
      <c r="M43" s="46" t="s">
        <v>506</v>
      </c>
    </row>
    <row r="44" spans="3:13" ht="22">
      <c r="C44" s="507" t="s">
        <v>1422</v>
      </c>
      <c r="D44" s="2" t="s">
        <v>515</v>
      </c>
      <c r="H44" s="4">
        <v>1.4E-2</v>
      </c>
      <c r="I44" s="2" t="s">
        <v>420</v>
      </c>
      <c r="L44" s="2" t="s">
        <v>516</v>
      </c>
      <c r="M44" s="46" t="s">
        <v>506</v>
      </c>
    </row>
    <row r="45" spans="3:13" ht="22">
      <c r="C45" s="507" t="s">
        <v>1423</v>
      </c>
      <c r="D45" s="2" t="s">
        <v>517</v>
      </c>
      <c r="H45" s="4">
        <v>5.2999999999999999E-2</v>
      </c>
      <c r="I45" s="2" t="s">
        <v>420</v>
      </c>
      <c r="L45" s="2" t="s">
        <v>505</v>
      </c>
      <c r="M45" s="46" t="s">
        <v>506</v>
      </c>
    </row>
    <row r="46" spans="3:13">
      <c r="C46" s="361" t="s">
        <v>1424</v>
      </c>
      <c r="D46" s="361" t="s">
        <v>518</v>
      </c>
      <c r="E46" s="361"/>
      <c r="F46" s="361"/>
      <c r="G46" s="361"/>
      <c r="H46" s="4">
        <v>91.7</v>
      </c>
      <c r="I46" s="361" t="s">
        <v>420</v>
      </c>
      <c r="J46" s="361"/>
      <c r="K46" s="361"/>
      <c r="L46" s="361" t="s">
        <v>505</v>
      </c>
      <c r="M46" s="46" t="s">
        <v>508</v>
      </c>
    </row>
    <row r="47" spans="3:13">
      <c r="C47" s="361" t="s">
        <v>1425</v>
      </c>
      <c r="D47" s="361" t="s">
        <v>519</v>
      </c>
      <c r="E47" s="361"/>
      <c r="F47" s="361"/>
      <c r="G47" s="361"/>
      <c r="H47" s="4">
        <v>88.2</v>
      </c>
      <c r="I47" s="361" t="s">
        <v>420</v>
      </c>
      <c r="J47" s="361"/>
      <c r="K47" s="361"/>
      <c r="L47" s="361" t="s">
        <v>505</v>
      </c>
      <c r="M47" s="46" t="s">
        <v>508</v>
      </c>
    </row>
    <row r="48" spans="3:13" ht="22">
      <c r="C48" s="507" t="s">
        <v>1426</v>
      </c>
      <c r="D48" s="2" t="s">
        <v>520</v>
      </c>
      <c r="H48" s="4">
        <v>354</v>
      </c>
      <c r="I48" s="2" t="s">
        <v>420</v>
      </c>
      <c r="L48" s="2" t="s">
        <v>505</v>
      </c>
      <c r="M48" s="46" t="s">
        <v>506</v>
      </c>
    </row>
    <row r="49" spans="1:14" ht="22">
      <c r="C49" s="507" t="s">
        <v>1427</v>
      </c>
      <c r="D49" s="2" t="s">
        <v>521</v>
      </c>
      <c r="H49" s="4">
        <v>404</v>
      </c>
      <c r="I49" s="2" t="s">
        <v>420</v>
      </c>
      <c r="L49" s="2" t="s">
        <v>505</v>
      </c>
      <c r="M49" s="46" t="s">
        <v>506</v>
      </c>
    </row>
    <row r="50" spans="1:14" ht="22">
      <c r="C50" s="507" t="s">
        <v>1428</v>
      </c>
      <c r="D50" s="2" t="s">
        <v>522</v>
      </c>
      <c r="H50" s="4">
        <v>314</v>
      </c>
      <c r="I50" s="2" t="s">
        <v>420</v>
      </c>
      <c r="L50" s="2" t="s">
        <v>505</v>
      </c>
      <c r="M50" s="46" t="s">
        <v>506</v>
      </c>
    </row>
    <row r="51" spans="1:14" ht="22">
      <c r="C51" s="507" t="s">
        <v>1429</v>
      </c>
      <c r="D51" s="2" t="s">
        <v>523</v>
      </c>
      <c r="H51" s="4">
        <v>343</v>
      </c>
      <c r="I51" s="2" t="s">
        <v>420</v>
      </c>
      <c r="L51" s="2" t="s">
        <v>505</v>
      </c>
      <c r="M51" s="46" t="s">
        <v>506</v>
      </c>
    </row>
    <row r="52" spans="1:14" ht="22">
      <c r="A52" s="2" t="s">
        <v>328</v>
      </c>
      <c r="C52" s="507" t="s">
        <v>1430</v>
      </c>
      <c r="D52" s="2" t="s">
        <v>524</v>
      </c>
      <c r="H52" s="4">
        <v>393</v>
      </c>
      <c r="I52" s="2" t="s">
        <v>420</v>
      </c>
      <c r="L52" s="2" t="s">
        <v>505</v>
      </c>
      <c r="M52" s="46" t="s">
        <v>506</v>
      </c>
    </row>
    <row r="53" spans="1:14" ht="22">
      <c r="C53" s="507" t="s">
        <v>1431</v>
      </c>
      <c r="D53" s="2" t="s">
        <v>525</v>
      </c>
      <c r="H53" s="4">
        <v>303</v>
      </c>
      <c r="I53" s="2" t="s">
        <v>420</v>
      </c>
      <c r="L53" s="2" t="s">
        <v>505</v>
      </c>
      <c r="M53" s="46" t="s">
        <v>506</v>
      </c>
    </row>
    <row r="54" spans="1:14" ht="22">
      <c r="C54" s="507" t="s">
        <v>1432</v>
      </c>
      <c r="D54" s="2" t="s">
        <v>526</v>
      </c>
      <c r="H54" s="4">
        <v>401</v>
      </c>
      <c r="I54" s="2" t="s">
        <v>420</v>
      </c>
      <c r="L54" s="2" t="s">
        <v>505</v>
      </c>
      <c r="M54" s="46" t="s">
        <v>506</v>
      </c>
    </row>
    <row r="55" spans="1:14" ht="22">
      <c r="C55" s="507" t="s">
        <v>1433</v>
      </c>
      <c r="D55" s="2" t="s">
        <v>527</v>
      </c>
      <c r="H55" s="4">
        <v>451</v>
      </c>
      <c r="I55" s="2" t="s">
        <v>420</v>
      </c>
      <c r="L55" s="2" t="s">
        <v>505</v>
      </c>
      <c r="M55" s="46" t="s">
        <v>506</v>
      </c>
    </row>
    <row r="56" spans="1:14" ht="22">
      <c r="C56" s="507" t="s">
        <v>1434</v>
      </c>
      <c r="D56" s="2" t="s">
        <v>528</v>
      </c>
      <c r="H56" s="4">
        <v>361</v>
      </c>
      <c r="I56" s="2" t="s">
        <v>420</v>
      </c>
      <c r="L56" s="2" t="s">
        <v>505</v>
      </c>
      <c r="M56" s="46" t="s">
        <v>506</v>
      </c>
    </row>
    <row r="57" spans="1:14" ht="22">
      <c r="C57" s="507" t="s">
        <v>1435</v>
      </c>
      <c r="D57" s="2" t="s">
        <v>529</v>
      </c>
      <c r="H57" s="4">
        <v>2.3E-3</v>
      </c>
      <c r="I57" s="2" t="s">
        <v>420</v>
      </c>
      <c r="L57" s="2" t="s">
        <v>505</v>
      </c>
      <c r="M57" s="46" t="s">
        <v>506</v>
      </c>
      <c r="N57" s="2" t="s">
        <v>530</v>
      </c>
    </row>
    <row r="58" spans="1:14" ht="22">
      <c r="C58" s="507" t="s">
        <v>1436</v>
      </c>
      <c r="D58" s="2" t="s">
        <v>531</v>
      </c>
      <c r="H58" s="4">
        <v>1.8499999999999999E-2</v>
      </c>
      <c r="I58" s="2" t="s">
        <v>420</v>
      </c>
      <c r="L58" s="2" t="s">
        <v>505</v>
      </c>
      <c r="M58" s="46" t="s">
        <v>506</v>
      </c>
      <c r="N58" s="2" t="s">
        <v>532</v>
      </c>
    </row>
    <row r="59" spans="1:14" ht="22">
      <c r="C59" s="507" t="s">
        <v>1437</v>
      </c>
      <c r="D59" s="2" t="s">
        <v>533</v>
      </c>
      <c r="H59" s="4">
        <v>7.1000000000000005E-5</v>
      </c>
      <c r="I59" s="2" t="s">
        <v>420</v>
      </c>
      <c r="L59" s="2" t="s">
        <v>505</v>
      </c>
      <c r="M59" s="46" t="s">
        <v>506</v>
      </c>
      <c r="N59" s="2" t="s">
        <v>534</v>
      </c>
    </row>
    <row r="60" spans="1:14" ht="22">
      <c r="C60" s="507" t="s">
        <v>1438</v>
      </c>
      <c r="D60" s="2" t="s">
        <v>535</v>
      </c>
      <c r="H60" s="4">
        <v>1086</v>
      </c>
      <c r="I60" s="2" t="s">
        <v>420</v>
      </c>
      <c r="L60" s="2" t="s">
        <v>505</v>
      </c>
      <c r="M60" s="46" t="s">
        <v>506</v>
      </c>
    </row>
    <row r="61" spans="1:14" ht="22">
      <c r="C61" s="507" t="s">
        <v>1439</v>
      </c>
      <c r="D61" s="2" t="s">
        <v>536</v>
      </c>
      <c r="H61" s="4">
        <v>615</v>
      </c>
      <c r="I61" s="2" t="s">
        <v>420</v>
      </c>
      <c r="L61" s="2" t="s">
        <v>505</v>
      </c>
      <c r="M61" s="46" t="s">
        <v>506</v>
      </c>
    </row>
    <row r="62" spans="1:14" ht="22">
      <c r="C62" s="507" t="s">
        <v>1440</v>
      </c>
      <c r="D62" s="2" t="s">
        <v>537</v>
      </c>
      <c r="H62" s="4">
        <v>173</v>
      </c>
      <c r="I62" s="2" t="s">
        <v>420</v>
      </c>
      <c r="L62" s="2" t="s">
        <v>505</v>
      </c>
      <c r="M62" s="46" t="s">
        <v>506</v>
      </c>
    </row>
    <row r="63" spans="1:14" ht="22">
      <c r="C63" s="507" t="s">
        <v>1441</v>
      </c>
      <c r="D63" s="2" t="s">
        <v>538</v>
      </c>
      <c r="H63" s="4">
        <v>2.77</v>
      </c>
      <c r="I63" s="2" t="s">
        <v>420</v>
      </c>
      <c r="L63" s="2" t="s">
        <v>505</v>
      </c>
      <c r="M63" s="46" t="s">
        <v>506</v>
      </c>
    </row>
    <row r="64" spans="1:14" ht="22">
      <c r="C64" s="507" t="s">
        <v>1442</v>
      </c>
      <c r="D64" s="2" t="s">
        <v>539</v>
      </c>
      <c r="H64" s="4">
        <v>1.0999999999999999E-2</v>
      </c>
      <c r="I64" s="2" t="s">
        <v>420</v>
      </c>
      <c r="L64" s="2" t="s">
        <v>505</v>
      </c>
      <c r="M64" s="46" t="s">
        <v>506</v>
      </c>
      <c r="N64" s="2" t="s">
        <v>540</v>
      </c>
    </row>
    <row r="65" spans="3:13" ht="22">
      <c r="C65" s="507" t="s">
        <v>1443</v>
      </c>
      <c r="D65" s="2" t="s">
        <v>541</v>
      </c>
      <c r="H65" s="4">
        <v>0.7</v>
      </c>
      <c r="I65" s="2" t="s">
        <v>420</v>
      </c>
      <c r="L65" s="2" t="s">
        <v>505</v>
      </c>
      <c r="M65" s="46" t="s">
        <v>506</v>
      </c>
    </row>
    <row r="66" spans="3:13" ht="22">
      <c r="C66" s="507" t="s">
        <v>1444</v>
      </c>
      <c r="D66" s="2" t="s">
        <v>542</v>
      </c>
      <c r="H66" s="4">
        <v>0.6</v>
      </c>
      <c r="I66" s="2" t="s">
        <v>420</v>
      </c>
      <c r="L66" s="2" t="s">
        <v>505</v>
      </c>
      <c r="M66" s="46" t="s">
        <v>506</v>
      </c>
    </row>
    <row r="67" spans="3:13" ht="22">
      <c r="C67" s="507" t="s">
        <v>1445</v>
      </c>
      <c r="D67" s="2" t="s">
        <v>543</v>
      </c>
      <c r="H67" s="4">
        <v>1.2</v>
      </c>
      <c r="I67" s="2" t="s">
        <v>420</v>
      </c>
      <c r="L67" s="2" t="s">
        <v>505</v>
      </c>
      <c r="M67" s="46" t="s">
        <v>506</v>
      </c>
    </row>
    <row r="68" spans="3:13" ht="22">
      <c r="C68" s="507" t="s">
        <v>1446</v>
      </c>
      <c r="D68" s="2" t="s">
        <v>544</v>
      </c>
      <c r="H68" s="4">
        <v>1.4</v>
      </c>
      <c r="I68" s="2" t="s">
        <v>420</v>
      </c>
      <c r="L68" s="2" t="s">
        <v>505</v>
      </c>
      <c r="M68" s="46" t="s">
        <v>506</v>
      </c>
    </row>
    <row r="69" spans="3:13" ht="22">
      <c r="C69" s="507" t="s">
        <v>1447</v>
      </c>
      <c r="D69" s="2" t="s">
        <v>545</v>
      </c>
      <c r="H69" s="4">
        <v>3</v>
      </c>
      <c r="I69" s="2" t="s">
        <v>420</v>
      </c>
      <c r="L69" s="2" t="s">
        <v>505</v>
      </c>
      <c r="M69" s="46" t="s">
        <v>506</v>
      </c>
    </row>
    <row r="70" spans="3:13" ht="22">
      <c r="C70" s="507" t="s">
        <v>1448</v>
      </c>
      <c r="D70" s="2" t="s">
        <v>546</v>
      </c>
      <c r="H70" s="4">
        <v>1.8</v>
      </c>
      <c r="I70" s="2" t="s">
        <v>420</v>
      </c>
      <c r="L70" s="2" t="s">
        <v>505</v>
      </c>
      <c r="M70" s="46" t="s">
        <v>506</v>
      </c>
    </row>
    <row r="71" spans="3:13" ht="22">
      <c r="C71" s="507" t="s">
        <v>1449</v>
      </c>
      <c r="D71" s="2" t="s">
        <v>547</v>
      </c>
      <c r="H71" s="4">
        <v>3</v>
      </c>
      <c r="I71" s="2" t="s">
        <v>420</v>
      </c>
      <c r="L71" s="2" t="s">
        <v>505</v>
      </c>
      <c r="M71" s="46" t="s">
        <v>506</v>
      </c>
    </row>
    <row r="72" spans="3:13" ht="22">
      <c r="C72" s="507" t="s">
        <v>1450</v>
      </c>
      <c r="D72" s="2" t="s">
        <v>548</v>
      </c>
      <c r="H72" s="4">
        <v>0.6</v>
      </c>
      <c r="I72" s="2" t="s">
        <v>420</v>
      </c>
      <c r="L72" s="2" t="s">
        <v>505</v>
      </c>
      <c r="M72" s="46" t="s">
        <v>506</v>
      </c>
    </row>
    <row r="73" spans="3:13" ht="22">
      <c r="C73" s="507" t="s">
        <v>1451</v>
      </c>
      <c r="D73" s="2" t="s">
        <v>549</v>
      </c>
      <c r="H73" s="4">
        <v>4.5</v>
      </c>
      <c r="I73" s="2" t="s">
        <v>420</v>
      </c>
      <c r="L73" s="2" t="s">
        <v>505</v>
      </c>
      <c r="M73" s="46" t="s">
        <v>506</v>
      </c>
    </row>
    <row r="74" spans="3:13" ht="22">
      <c r="C74" s="507" t="s">
        <v>1452</v>
      </c>
      <c r="D74" s="2" t="s">
        <v>550</v>
      </c>
      <c r="H74" s="4">
        <v>0.6</v>
      </c>
      <c r="I74" s="2" t="s">
        <v>420</v>
      </c>
      <c r="L74" s="2" t="s">
        <v>505</v>
      </c>
      <c r="M74" s="46" t="s">
        <v>506</v>
      </c>
    </row>
    <row r="75" spans="3:13" ht="22">
      <c r="C75" s="507" t="s">
        <v>1453</v>
      </c>
      <c r="D75" s="2" t="s">
        <v>551</v>
      </c>
      <c r="H75" s="4">
        <v>6</v>
      </c>
      <c r="I75" s="2" t="s">
        <v>420</v>
      </c>
      <c r="L75" s="2" t="s">
        <v>505</v>
      </c>
      <c r="M75" s="46" t="s">
        <v>506</v>
      </c>
    </row>
    <row r="76" spans="3:13" ht="22">
      <c r="C76" s="507" t="s">
        <v>1454</v>
      </c>
      <c r="D76" s="2" t="s">
        <v>552</v>
      </c>
      <c r="H76" s="4">
        <v>7.7999999999999996E-3</v>
      </c>
      <c r="I76" s="2" t="s">
        <v>420</v>
      </c>
      <c r="L76" s="2" t="s">
        <v>553</v>
      </c>
      <c r="M76" s="46" t="s">
        <v>506</v>
      </c>
    </row>
    <row r="77" spans="3:13" ht="22">
      <c r="C77" s="507" t="s">
        <v>1455</v>
      </c>
      <c r="D77" s="2" t="s">
        <v>554</v>
      </c>
      <c r="H77" s="4">
        <v>0.01</v>
      </c>
      <c r="I77" s="2" t="s">
        <v>420</v>
      </c>
      <c r="L77" s="2" t="s">
        <v>553</v>
      </c>
      <c r="M77" s="46" t="s">
        <v>506</v>
      </c>
    </row>
    <row r="78" spans="3:13" ht="22">
      <c r="C78" s="507" t="s">
        <v>1456</v>
      </c>
      <c r="D78" s="2" t="s">
        <v>555</v>
      </c>
      <c r="H78" s="4">
        <v>7.0999999999999994E-2</v>
      </c>
      <c r="I78" s="2" t="s">
        <v>420</v>
      </c>
      <c r="L78" s="2" t="s">
        <v>553</v>
      </c>
      <c r="M78" s="46" t="s">
        <v>506</v>
      </c>
    </row>
    <row r="79" spans="3:13" ht="22">
      <c r="C79" s="507" t="s">
        <v>1457</v>
      </c>
      <c r="D79" s="2" t="s">
        <v>556</v>
      </c>
      <c r="H79" s="4">
        <v>9.7000000000000003E-2</v>
      </c>
      <c r="I79" s="2" t="s">
        <v>420</v>
      </c>
      <c r="L79" s="2" t="s">
        <v>553</v>
      </c>
      <c r="M79" s="46" t="s">
        <v>506</v>
      </c>
    </row>
    <row r="80" spans="3:13" ht="22">
      <c r="C80" s="507" t="s">
        <v>1458</v>
      </c>
      <c r="D80" s="2" t="s">
        <v>557</v>
      </c>
      <c r="H80" s="4">
        <v>3.2000000000000001E-2</v>
      </c>
      <c r="I80" s="2" t="s">
        <v>420</v>
      </c>
      <c r="L80" s="2" t="s">
        <v>553</v>
      </c>
      <c r="M80" s="46" t="s">
        <v>506</v>
      </c>
    </row>
    <row r="81" spans="3:14" ht="22">
      <c r="C81" s="507" t="s">
        <v>1459</v>
      </c>
      <c r="D81" s="2" t="s">
        <v>558</v>
      </c>
      <c r="H81" s="4">
        <v>3.7999999999999999E-2</v>
      </c>
      <c r="I81" s="2" t="s">
        <v>420</v>
      </c>
      <c r="L81" s="2" t="s">
        <v>553</v>
      </c>
      <c r="M81" s="46" t="s">
        <v>506</v>
      </c>
    </row>
    <row r="82" spans="3:14" ht="22">
      <c r="C82" s="507" t="s">
        <v>1460</v>
      </c>
      <c r="D82" s="2" t="s">
        <v>559</v>
      </c>
      <c r="H82" s="4">
        <v>1.4999999999999999E-2</v>
      </c>
      <c r="I82" s="2" t="s">
        <v>420</v>
      </c>
      <c r="L82" s="2" t="s">
        <v>553</v>
      </c>
      <c r="M82" s="46" t="s">
        <v>506</v>
      </c>
    </row>
    <row r="83" spans="3:14" ht="22">
      <c r="C83" s="507" t="s">
        <v>1461</v>
      </c>
      <c r="D83" s="2" t="s">
        <v>560</v>
      </c>
      <c r="H83" s="4">
        <v>2.1000000000000001E-2</v>
      </c>
      <c r="I83" s="2" t="s">
        <v>420</v>
      </c>
      <c r="L83" s="2" t="s">
        <v>553</v>
      </c>
      <c r="M83" s="46" t="s">
        <v>506</v>
      </c>
    </row>
    <row r="84" spans="3:14" ht="22">
      <c r="C84" s="507" t="s">
        <v>1462</v>
      </c>
      <c r="D84" s="2" t="s">
        <v>561</v>
      </c>
      <c r="H84" s="4">
        <v>2.6599999999999999E-2</v>
      </c>
      <c r="I84" s="2" t="s">
        <v>420</v>
      </c>
      <c r="L84" s="2" t="s">
        <v>553</v>
      </c>
      <c r="M84" s="46" t="s">
        <v>506</v>
      </c>
    </row>
    <row r="85" spans="3:14" ht="22">
      <c r="C85" s="507" t="s">
        <v>1463</v>
      </c>
      <c r="D85" s="2" t="s">
        <v>562</v>
      </c>
      <c r="H85" s="4">
        <v>9.6</v>
      </c>
      <c r="I85" s="2" t="s">
        <v>420</v>
      </c>
      <c r="L85" s="2" t="s">
        <v>505</v>
      </c>
      <c r="M85" s="46" t="s">
        <v>506</v>
      </c>
    </row>
    <row r="86" spans="3:14" ht="22">
      <c r="C86" s="507" t="s">
        <v>1464</v>
      </c>
      <c r="D86" s="2" t="s">
        <v>563</v>
      </c>
      <c r="H86" s="4">
        <v>4.1399999999999997</v>
      </c>
      <c r="I86" s="2" t="s">
        <v>420</v>
      </c>
      <c r="L86" s="2" t="s">
        <v>505</v>
      </c>
      <c r="M86" s="46" t="s">
        <v>506</v>
      </c>
    </row>
    <row r="87" spans="3:14" ht="22">
      <c r="C87" s="507" t="s">
        <v>1465</v>
      </c>
      <c r="D87" s="2" t="s">
        <v>564</v>
      </c>
      <c r="H87" s="4">
        <v>4.63</v>
      </c>
      <c r="I87" s="2" t="s">
        <v>420</v>
      </c>
      <c r="L87" s="2" t="s">
        <v>505</v>
      </c>
      <c r="M87" s="46" t="s">
        <v>506</v>
      </c>
    </row>
    <row r="88" spans="3:14" ht="22">
      <c r="C88" s="507" t="s">
        <v>1466</v>
      </c>
      <c r="D88" s="2" t="s">
        <v>565</v>
      </c>
      <c r="H88" s="4">
        <v>22.54</v>
      </c>
      <c r="I88" s="2" t="s">
        <v>420</v>
      </c>
      <c r="L88" s="2" t="s">
        <v>505</v>
      </c>
      <c r="M88" s="46" t="s">
        <v>506</v>
      </c>
    </row>
    <row r="89" spans="3:14" ht="22">
      <c r="C89" s="507" t="s">
        <v>1467</v>
      </c>
      <c r="D89" s="2" t="s">
        <v>566</v>
      </c>
      <c r="H89" s="4">
        <v>2.4</v>
      </c>
      <c r="I89" s="2" t="s">
        <v>420</v>
      </c>
      <c r="L89" s="2" t="s">
        <v>567</v>
      </c>
      <c r="M89" s="46" t="s">
        <v>506</v>
      </c>
    </row>
    <row r="90" spans="3:14" ht="22">
      <c r="C90" s="507" t="s">
        <v>1468</v>
      </c>
      <c r="D90" s="2" t="s">
        <v>568</v>
      </c>
      <c r="H90" s="4">
        <v>0.182</v>
      </c>
      <c r="I90" s="2" t="s">
        <v>420</v>
      </c>
      <c r="L90" s="2" t="s">
        <v>505</v>
      </c>
      <c r="M90" s="46" t="s">
        <v>506</v>
      </c>
      <c r="N90" s="2" t="s">
        <v>569</v>
      </c>
    </row>
    <row r="91" spans="3:14" ht="22">
      <c r="C91" s="507" t="s">
        <v>1469</v>
      </c>
      <c r="D91" s="2" t="s">
        <v>570</v>
      </c>
      <c r="H91" s="4">
        <v>0.10199999999999999</v>
      </c>
      <c r="I91" s="2" t="s">
        <v>420</v>
      </c>
      <c r="L91" s="2" t="s">
        <v>505</v>
      </c>
      <c r="M91" s="46" t="s">
        <v>506</v>
      </c>
      <c r="N91" s="2" t="s">
        <v>571</v>
      </c>
    </row>
    <row r="92" spans="3:14" ht="22">
      <c r="C92" s="507" t="s">
        <v>1470</v>
      </c>
      <c r="D92" s="2" t="s">
        <v>572</v>
      </c>
      <c r="H92" s="4">
        <v>0.24</v>
      </c>
      <c r="I92" s="2" t="s">
        <v>420</v>
      </c>
      <c r="L92" s="2" t="s">
        <v>505</v>
      </c>
      <c r="M92" s="46" t="s">
        <v>506</v>
      </c>
      <c r="N92" s="2" t="s">
        <v>573</v>
      </c>
    </row>
    <row r="93" spans="3:14" ht="22">
      <c r="C93" s="507" t="s">
        <v>1471</v>
      </c>
      <c r="D93" s="2" t="s">
        <v>574</v>
      </c>
      <c r="H93" s="4">
        <v>5.2999999999999999E-2</v>
      </c>
      <c r="I93" s="2" t="s">
        <v>420</v>
      </c>
      <c r="L93" s="2" t="s">
        <v>505</v>
      </c>
      <c r="M93" s="46" t="s">
        <v>506</v>
      </c>
      <c r="N93" s="2" t="s">
        <v>575</v>
      </c>
    </row>
    <row r="94" spans="3:14" ht="22">
      <c r="C94" s="507" t="s">
        <v>1472</v>
      </c>
      <c r="D94" s="2" t="s">
        <v>576</v>
      </c>
      <c r="H94" s="4">
        <v>1.5</v>
      </c>
      <c r="I94" s="2" t="s">
        <v>420</v>
      </c>
      <c r="L94" s="2" t="s">
        <v>567</v>
      </c>
      <c r="M94" s="46" t="s">
        <v>506</v>
      </c>
    </row>
    <row r="95" spans="3:14" ht="22">
      <c r="C95" s="507" t="s">
        <v>1473</v>
      </c>
      <c r="D95" s="2" t="s">
        <v>577</v>
      </c>
      <c r="H95" s="4">
        <v>1.8</v>
      </c>
      <c r="I95" s="2" t="s">
        <v>420</v>
      </c>
      <c r="L95" s="2" t="s">
        <v>567</v>
      </c>
      <c r="M95" s="46" t="s">
        <v>506</v>
      </c>
    </row>
    <row r="96" spans="3:14" ht="22">
      <c r="C96" s="507" t="s">
        <v>1474</v>
      </c>
      <c r="D96" s="2" t="s">
        <v>578</v>
      </c>
      <c r="H96" s="4">
        <v>3</v>
      </c>
      <c r="I96" s="2" t="s">
        <v>420</v>
      </c>
      <c r="L96" s="2" t="s">
        <v>567</v>
      </c>
      <c r="M96" s="46" t="s">
        <v>506</v>
      </c>
    </row>
    <row r="97" spans="3:14" ht="22">
      <c r="C97" s="507" t="s">
        <v>1475</v>
      </c>
      <c r="D97" s="2" t="s">
        <v>579</v>
      </c>
      <c r="H97" s="4">
        <v>3.2000000000000002E-3</v>
      </c>
      <c r="I97" s="2" t="s">
        <v>420</v>
      </c>
      <c r="L97" s="2" t="s">
        <v>505</v>
      </c>
      <c r="M97" s="46" t="s">
        <v>506</v>
      </c>
      <c r="N97" s="2" t="s">
        <v>540</v>
      </c>
    </row>
    <row r="98" spans="3:14" ht="22">
      <c r="C98" s="507" t="s">
        <v>1476</v>
      </c>
      <c r="D98" s="2" t="s">
        <v>580</v>
      </c>
      <c r="H98" s="4">
        <v>3.5999999999999999E-3</v>
      </c>
      <c r="I98" s="2" t="s">
        <v>420</v>
      </c>
      <c r="L98" s="2" t="s">
        <v>505</v>
      </c>
      <c r="M98" s="46" t="s">
        <v>506</v>
      </c>
      <c r="N98" s="2" t="s">
        <v>581</v>
      </c>
    </row>
    <row r="99" spans="3:14" ht="22">
      <c r="C99" s="507" t="s">
        <v>1477</v>
      </c>
      <c r="D99" s="2" t="s">
        <v>582</v>
      </c>
      <c r="H99" s="4">
        <v>3.9999999999999998E-6</v>
      </c>
      <c r="I99" s="2" t="s">
        <v>420</v>
      </c>
      <c r="L99" s="2" t="s">
        <v>505</v>
      </c>
      <c r="M99" s="46" t="s">
        <v>506</v>
      </c>
      <c r="N99" s="2" t="s">
        <v>583</v>
      </c>
    </row>
    <row r="100" spans="3:14" ht="22">
      <c r="C100" s="507" t="s">
        <v>1478</v>
      </c>
      <c r="D100" s="2" t="s">
        <v>584</v>
      </c>
      <c r="H100" s="4">
        <v>2688</v>
      </c>
      <c r="I100" s="2" t="s">
        <v>420</v>
      </c>
      <c r="L100" s="2" t="s">
        <v>505</v>
      </c>
      <c r="M100" s="46" t="s">
        <v>506</v>
      </c>
    </row>
    <row r="101" spans="3:14" ht="22">
      <c r="C101" s="507" t="s">
        <v>1479</v>
      </c>
      <c r="D101" s="2" t="s">
        <v>585</v>
      </c>
      <c r="H101" s="4">
        <v>26.13</v>
      </c>
      <c r="I101" s="2" t="s">
        <v>420</v>
      </c>
      <c r="L101" s="2" t="s">
        <v>505</v>
      </c>
      <c r="M101" s="46" t="s">
        <v>506</v>
      </c>
    </row>
    <row r="102" spans="3:14" ht="22">
      <c r="C102" s="507" t="s">
        <v>1480</v>
      </c>
      <c r="D102" s="2" t="s">
        <v>586</v>
      </c>
      <c r="H102" s="4">
        <v>1.0999999999999999E-2</v>
      </c>
      <c r="I102" s="2" t="s">
        <v>420</v>
      </c>
      <c r="L102" s="2" t="s">
        <v>505</v>
      </c>
      <c r="M102" s="46" t="s">
        <v>506</v>
      </c>
      <c r="N102" s="2" t="s">
        <v>587</v>
      </c>
    </row>
    <row r="103" spans="3:14" ht="22">
      <c r="C103" s="507" t="s">
        <v>1481</v>
      </c>
      <c r="D103" s="2" t="s">
        <v>588</v>
      </c>
      <c r="H103" s="4">
        <v>1.24</v>
      </c>
      <c r="I103" s="2" t="s">
        <v>420</v>
      </c>
      <c r="L103" s="2" t="s">
        <v>505</v>
      </c>
      <c r="M103" s="46" t="s">
        <v>506</v>
      </c>
    </row>
    <row r="104" spans="3:14" ht="22">
      <c r="C104" s="507" t="s">
        <v>1482</v>
      </c>
      <c r="D104" s="2" t="s">
        <v>589</v>
      </c>
      <c r="H104" s="4">
        <v>260</v>
      </c>
      <c r="I104" s="2" t="s">
        <v>420</v>
      </c>
      <c r="L104" s="2" t="s">
        <v>505</v>
      </c>
      <c r="M104" s="46" t="s">
        <v>506</v>
      </c>
    </row>
    <row r="105" spans="3:14" ht="22">
      <c r="C105" s="507" t="s">
        <v>1483</v>
      </c>
      <c r="D105" s="2" t="s">
        <v>590</v>
      </c>
      <c r="H105" s="4">
        <v>268</v>
      </c>
      <c r="I105" s="2" t="s">
        <v>420</v>
      </c>
      <c r="L105" s="2" t="s">
        <v>505</v>
      </c>
      <c r="M105" s="46" t="s">
        <v>506</v>
      </c>
    </row>
    <row r="106" spans="3:14" ht="22">
      <c r="C106" s="507" t="s">
        <v>1484</v>
      </c>
      <c r="D106" s="2" t="s">
        <v>591</v>
      </c>
      <c r="H106" s="4">
        <v>276</v>
      </c>
      <c r="I106" s="2" t="s">
        <v>420</v>
      </c>
      <c r="L106" s="2" t="s">
        <v>505</v>
      </c>
      <c r="M106" s="46" t="s">
        <v>506</v>
      </c>
    </row>
    <row r="107" spans="3:14" ht="22">
      <c r="C107" s="507" t="s">
        <v>1485</v>
      </c>
      <c r="D107" s="2" t="s">
        <v>592</v>
      </c>
      <c r="H107" s="4">
        <v>290</v>
      </c>
      <c r="I107" s="2" t="s">
        <v>420</v>
      </c>
      <c r="L107" s="2" t="s">
        <v>505</v>
      </c>
      <c r="M107" s="46" t="s">
        <v>506</v>
      </c>
    </row>
    <row r="108" spans="3:14" ht="22">
      <c r="C108" s="507" t="s">
        <v>1486</v>
      </c>
      <c r="D108" s="2" t="s">
        <v>593</v>
      </c>
      <c r="H108" s="4">
        <v>241</v>
      </c>
      <c r="I108" s="2" t="s">
        <v>420</v>
      </c>
      <c r="L108" s="2" t="s">
        <v>505</v>
      </c>
      <c r="M108" s="46" t="s">
        <v>506</v>
      </c>
    </row>
    <row r="109" spans="3:14" ht="22">
      <c r="C109" s="507" t="s">
        <v>1487</v>
      </c>
      <c r="D109" s="2" t="s">
        <v>594</v>
      </c>
      <c r="H109" s="4">
        <v>249</v>
      </c>
      <c r="I109" s="2" t="s">
        <v>420</v>
      </c>
      <c r="L109" s="2" t="s">
        <v>505</v>
      </c>
      <c r="M109" s="46" t="s">
        <v>506</v>
      </c>
    </row>
    <row r="110" spans="3:14" ht="22">
      <c r="C110" s="507" t="s">
        <v>1488</v>
      </c>
      <c r="D110" s="2" t="s">
        <v>595</v>
      </c>
      <c r="H110" s="4">
        <v>256</v>
      </c>
      <c r="I110" s="2" t="s">
        <v>420</v>
      </c>
      <c r="L110" s="2" t="s">
        <v>505</v>
      </c>
      <c r="M110" s="46" t="s">
        <v>506</v>
      </c>
    </row>
    <row r="111" spans="3:14" ht="22">
      <c r="C111" s="507" t="s">
        <v>1489</v>
      </c>
      <c r="D111" s="2" t="s">
        <v>596</v>
      </c>
      <c r="H111" s="4">
        <v>270</v>
      </c>
      <c r="I111" s="2" t="s">
        <v>420</v>
      </c>
      <c r="L111" s="2" t="s">
        <v>505</v>
      </c>
      <c r="M111" s="46" t="s">
        <v>506</v>
      </c>
    </row>
    <row r="112" spans="3:14" ht="22">
      <c r="C112" s="507" t="s">
        <v>1490</v>
      </c>
      <c r="D112" s="2" t="s">
        <v>597</v>
      </c>
      <c r="H112" s="4">
        <v>248</v>
      </c>
      <c r="I112" s="2" t="s">
        <v>420</v>
      </c>
      <c r="L112" s="2" t="s">
        <v>505</v>
      </c>
      <c r="M112" s="46" t="s">
        <v>506</v>
      </c>
    </row>
    <row r="113" spans="3:14" ht="22">
      <c r="C113" s="507" t="s">
        <v>1491</v>
      </c>
      <c r="D113" s="2" t="s">
        <v>598</v>
      </c>
      <c r="H113" s="4">
        <v>256</v>
      </c>
      <c r="I113" s="2" t="s">
        <v>420</v>
      </c>
      <c r="L113" s="2" t="s">
        <v>505</v>
      </c>
      <c r="M113" s="46" t="s">
        <v>506</v>
      </c>
    </row>
    <row r="114" spans="3:14" ht="22">
      <c r="C114" s="507" t="s">
        <v>1492</v>
      </c>
      <c r="D114" s="2" t="s">
        <v>599</v>
      </c>
      <c r="H114" s="4">
        <v>263</v>
      </c>
      <c r="I114" s="2" t="s">
        <v>420</v>
      </c>
      <c r="L114" s="2" t="s">
        <v>505</v>
      </c>
      <c r="M114" s="46" t="s">
        <v>506</v>
      </c>
    </row>
    <row r="115" spans="3:14" ht="22">
      <c r="C115" s="507" t="s">
        <v>1493</v>
      </c>
      <c r="D115" s="2" t="s">
        <v>600</v>
      </c>
      <c r="H115" s="4">
        <v>277</v>
      </c>
      <c r="I115" s="2" t="s">
        <v>420</v>
      </c>
      <c r="L115" s="2" t="s">
        <v>505</v>
      </c>
      <c r="M115" s="46" t="s">
        <v>506</v>
      </c>
    </row>
    <row r="116" spans="3:14" ht="22">
      <c r="C116" s="507" t="s">
        <v>1494</v>
      </c>
      <c r="D116" s="2" t="s">
        <v>601</v>
      </c>
      <c r="H116" s="4">
        <v>9</v>
      </c>
      <c r="I116" s="2" t="s">
        <v>420</v>
      </c>
      <c r="L116" s="2" t="s">
        <v>505</v>
      </c>
      <c r="M116" s="46" t="s">
        <v>506</v>
      </c>
    </row>
    <row r="117" spans="3:14" ht="22">
      <c r="C117" s="507" t="s">
        <v>1495</v>
      </c>
      <c r="D117" s="2" t="s">
        <v>602</v>
      </c>
      <c r="H117" s="4">
        <v>0.02</v>
      </c>
      <c r="I117" s="2" t="s">
        <v>420</v>
      </c>
      <c r="L117" s="2" t="s">
        <v>516</v>
      </c>
      <c r="M117" s="46" t="s">
        <v>506</v>
      </c>
    </row>
    <row r="118" spans="3:14" ht="22">
      <c r="C118" s="507" t="s">
        <v>1496</v>
      </c>
      <c r="D118" s="2" t="s">
        <v>603</v>
      </c>
      <c r="H118" s="4">
        <v>1.6E-2</v>
      </c>
      <c r="I118" s="2" t="s">
        <v>420</v>
      </c>
      <c r="L118" s="2" t="s">
        <v>516</v>
      </c>
      <c r="M118" s="46" t="s">
        <v>506</v>
      </c>
    </row>
    <row r="119" spans="3:14" ht="22">
      <c r="C119" s="507" t="s">
        <v>1497</v>
      </c>
      <c r="D119" s="2" t="s">
        <v>604</v>
      </c>
      <c r="H119" s="4">
        <v>7.3000000000000001E-3</v>
      </c>
      <c r="I119" s="2" t="s">
        <v>420</v>
      </c>
      <c r="L119" s="2" t="s">
        <v>505</v>
      </c>
      <c r="M119" s="46" t="s">
        <v>506</v>
      </c>
      <c r="N119" s="2" t="s">
        <v>605</v>
      </c>
    </row>
    <row r="120" spans="3:14" ht="22">
      <c r="C120" s="507" t="s">
        <v>1498</v>
      </c>
      <c r="D120" s="2" t="s">
        <v>606</v>
      </c>
      <c r="H120" s="4">
        <v>23</v>
      </c>
      <c r="I120" s="2" t="s">
        <v>420</v>
      </c>
      <c r="L120" s="2" t="s">
        <v>505</v>
      </c>
      <c r="M120" s="46" t="s">
        <v>506</v>
      </c>
    </row>
    <row r="121" spans="3:14" ht="22">
      <c r="C121" s="507" t="s">
        <v>1499</v>
      </c>
      <c r="D121" s="2" t="s">
        <v>607</v>
      </c>
      <c r="H121" s="4">
        <v>5.99</v>
      </c>
      <c r="I121" s="2" t="s">
        <v>420</v>
      </c>
      <c r="L121" s="2" t="s">
        <v>608</v>
      </c>
      <c r="M121" s="46" t="s">
        <v>506</v>
      </c>
    </row>
    <row r="122" spans="3:14" ht="22">
      <c r="C122" s="507" t="s">
        <v>1500</v>
      </c>
      <c r="D122" s="2" t="s">
        <v>609</v>
      </c>
      <c r="H122" s="4">
        <v>10.7</v>
      </c>
      <c r="I122" s="2" t="s">
        <v>420</v>
      </c>
      <c r="L122" s="2" t="s">
        <v>608</v>
      </c>
      <c r="M122" s="46" t="s">
        <v>506</v>
      </c>
    </row>
    <row r="123" spans="3:14" ht="22">
      <c r="C123" s="507" t="s">
        <v>1501</v>
      </c>
      <c r="D123" s="2" t="s">
        <v>610</v>
      </c>
      <c r="H123" s="4">
        <v>1.31</v>
      </c>
      <c r="I123" s="2" t="s">
        <v>420</v>
      </c>
      <c r="L123" s="2" t="s">
        <v>608</v>
      </c>
      <c r="M123" s="46" t="s">
        <v>506</v>
      </c>
    </row>
    <row r="124" spans="3:14" ht="22">
      <c r="C124" s="507" t="s">
        <v>1502</v>
      </c>
      <c r="D124" s="2" t="s">
        <v>611</v>
      </c>
      <c r="H124" s="4">
        <v>5.26</v>
      </c>
      <c r="I124" s="2" t="s">
        <v>420</v>
      </c>
      <c r="L124" s="2" t="s">
        <v>608</v>
      </c>
      <c r="M124" s="46" t="s">
        <v>506</v>
      </c>
    </row>
    <row r="125" spans="3:14" ht="22">
      <c r="C125" s="507" t="s">
        <v>1503</v>
      </c>
      <c r="D125" s="2" t="s">
        <v>612</v>
      </c>
      <c r="H125" s="4">
        <v>9.6</v>
      </c>
      <c r="I125" s="2" t="s">
        <v>420</v>
      </c>
      <c r="L125" s="2" t="s">
        <v>608</v>
      </c>
      <c r="M125" s="46" t="s">
        <v>506</v>
      </c>
    </row>
    <row r="126" spans="3:14" ht="22">
      <c r="C126" s="507" t="s">
        <v>1504</v>
      </c>
      <c r="D126" s="2" t="s">
        <v>613</v>
      </c>
      <c r="H126" s="4">
        <v>0.93</v>
      </c>
      <c r="I126" s="2" t="s">
        <v>420</v>
      </c>
      <c r="L126" s="2" t="s">
        <v>608</v>
      </c>
      <c r="M126" s="46" t="s">
        <v>506</v>
      </c>
    </row>
    <row r="127" spans="3:14" ht="22">
      <c r="C127" s="507" t="s">
        <v>1505</v>
      </c>
      <c r="D127" s="2" t="s">
        <v>614</v>
      </c>
      <c r="H127" s="4">
        <v>4.8600000000000003</v>
      </c>
      <c r="I127" s="2" t="s">
        <v>420</v>
      </c>
      <c r="L127" s="2" t="s">
        <v>608</v>
      </c>
      <c r="M127" s="46" t="s">
        <v>506</v>
      </c>
    </row>
    <row r="128" spans="3:14" ht="22">
      <c r="C128" s="507" t="s">
        <v>1506</v>
      </c>
      <c r="D128" s="2" t="s">
        <v>615</v>
      </c>
      <c r="H128" s="4">
        <v>8.4499999999999993</v>
      </c>
      <c r="I128" s="2" t="s">
        <v>420</v>
      </c>
      <c r="L128" s="2" t="s">
        <v>608</v>
      </c>
      <c r="M128" s="46" t="s">
        <v>506</v>
      </c>
    </row>
    <row r="129" spans="3:13" ht="22">
      <c r="C129" s="507" t="s">
        <v>1507</v>
      </c>
      <c r="D129" s="2" t="s">
        <v>616</v>
      </c>
      <c r="H129" s="4">
        <v>1.31</v>
      </c>
      <c r="I129" s="2" t="s">
        <v>420</v>
      </c>
      <c r="L129" s="2" t="s">
        <v>608</v>
      </c>
      <c r="M129" s="46" t="s">
        <v>506</v>
      </c>
    </row>
    <row r="130" spans="3:13" ht="22">
      <c r="C130" s="507" t="s">
        <v>1508</v>
      </c>
      <c r="D130" s="2" t="s">
        <v>617</v>
      </c>
      <c r="H130" s="4">
        <v>4.1399999999999997</v>
      </c>
      <c r="I130" s="2" t="s">
        <v>420</v>
      </c>
      <c r="L130" s="2" t="s">
        <v>608</v>
      </c>
      <c r="M130" s="46" t="s">
        <v>506</v>
      </c>
    </row>
    <row r="131" spans="3:13" ht="22">
      <c r="C131" s="507" t="s">
        <v>1509</v>
      </c>
      <c r="D131" s="2" t="s">
        <v>618</v>
      </c>
      <c r="H131" s="4">
        <v>7.35</v>
      </c>
      <c r="I131" s="2" t="s">
        <v>420</v>
      </c>
      <c r="L131" s="2" t="s">
        <v>608</v>
      </c>
      <c r="M131" s="46" t="s">
        <v>506</v>
      </c>
    </row>
    <row r="132" spans="3:13" ht="22">
      <c r="C132" s="507" t="s">
        <v>1510</v>
      </c>
      <c r="D132" s="2" t="s">
        <v>619</v>
      </c>
      <c r="H132" s="4">
        <v>0.93</v>
      </c>
      <c r="I132" s="2" t="s">
        <v>420</v>
      </c>
      <c r="L132" s="2" t="s">
        <v>608</v>
      </c>
      <c r="M132" s="46" t="s">
        <v>506</v>
      </c>
    </row>
    <row r="133" spans="3:13" ht="22">
      <c r="C133" s="507" t="s">
        <v>1511</v>
      </c>
      <c r="D133" s="2" t="s">
        <v>620</v>
      </c>
      <c r="H133" s="4">
        <v>4.84</v>
      </c>
      <c r="I133" s="2" t="s">
        <v>420</v>
      </c>
      <c r="L133" s="2" t="s">
        <v>608</v>
      </c>
      <c r="M133" s="46" t="s">
        <v>506</v>
      </c>
    </row>
    <row r="134" spans="3:13" ht="22">
      <c r="C134" s="507" t="s">
        <v>1512</v>
      </c>
      <c r="D134" s="2" t="s">
        <v>621</v>
      </c>
      <c r="H134" s="4">
        <v>8.41</v>
      </c>
      <c r="I134" s="2" t="s">
        <v>420</v>
      </c>
      <c r="L134" s="2" t="s">
        <v>608</v>
      </c>
      <c r="M134" s="46" t="s">
        <v>506</v>
      </c>
    </row>
    <row r="135" spans="3:13" ht="22">
      <c r="C135" s="507" t="s">
        <v>1513</v>
      </c>
      <c r="D135" s="2" t="s">
        <v>622</v>
      </c>
      <c r="H135" s="4">
        <v>1.31</v>
      </c>
      <c r="I135" s="2" t="s">
        <v>420</v>
      </c>
      <c r="L135" s="2" t="s">
        <v>608</v>
      </c>
      <c r="M135" s="46" t="s">
        <v>506</v>
      </c>
    </row>
    <row r="136" spans="3:13" ht="22">
      <c r="C136" s="507" t="s">
        <v>1514</v>
      </c>
      <c r="D136" s="2" t="s">
        <v>623</v>
      </c>
      <c r="H136" s="4">
        <v>4.1100000000000003</v>
      </c>
      <c r="I136" s="2" t="s">
        <v>420</v>
      </c>
      <c r="L136" s="2" t="s">
        <v>608</v>
      </c>
      <c r="M136" s="46" t="s">
        <v>506</v>
      </c>
    </row>
    <row r="137" spans="3:13" ht="22">
      <c r="C137" s="507" t="s">
        <v>1515</v>
      </c>
      <c r="D137" s="2" t="s">
        <v>624</v>
      </c>
      <c r="H137" s="4">
        <v>7.33</v>
      </c>
      <c r="I137" s="2" t="s">
        <v>420</v>
      </c>
      <c r="L137" s="2" t="s">
        <v>608</v>
      </c>
      <c r="M137" s="46" t="s">
        <v>506</v>
      </c>
    </row>
    <row r="138" spans="3:13" ht="22">
      <c r="C138" s="507" t="s">
        <v>1516</v>
      </c>
      <c r="D138" s="2" t="s">
        <v>625</v>
      </c>
      <c r="H138" s="4">
        <v>0.93</v>
      </c>
      <c r="I138" s="2" t="s">
        <v>420</v>
      </c>
      <c r="L138" s="2" t="s">
        <v>608</v>
      </c>
      <c r="M138" s="46" t="s">
        <v>506</v>
      </c>
    </row>
    <row r="139" spans="3:13" ht="22">
      <c r="C139" s="507" t="s">
        <v>1517</v>
      </c>
      <c r="D139" s="2" t="s">
        <v>626</v>
      </c>
      <c r="H139" s="4">
        <v>4.84</v>
      </c>
      <c r="I139" s="2" t="s">
        <v>420</v>
      </c>
      <c r="L139" s="2" t="s">
        <v>608</v>
      </c>
      <c r="M139" s="46" t="s">
        <v>506</v>
      </c>
    </row>
    <row r="140" spans="3:13" ht="22">
      <c r="C140" s="507" t="s">
        <v>1518</v>
      </c>
      <c r="D140" s="2" t="s">
        <v>627</v>
      </c>
      <c r="H140" s="4">
        <v>8.4</v>
      </c>
      <c r="I140" s="2" t="s">
        <v>420</v>
      </c>
      <c r="L140" s="2" t="s">
        <v>608</v>
      </c>
      <c r="M140" s="46" t="s">
        <v>506</v>
      </c>
    </row>
    <row r="141" spans="3:13" ht="22">
      <c r="C141" s="507" t="s">
        <v>1519</v>
      </c>
      <c r="D141" s="2" t="s">
        <v>628</v>
      </c>
      <c r="H141" s="4">
        <v>1.31</v>
      </c>
      <c r="I141" s="2" t="s">
        <v>420</v>
      </c>
      <c r="L141" s="2" t="s">
        <v>608</v>
      </c>
      <c r="M141" s="46" t="s">
        <v>506</v>
      </c>
    </row>
    <row r="142" spans="3:13" ht="22">
      <c r="C142" s="507" t="s">
        <v>1520</v>
      </c>
      <c r="D142" s="2" t="s">
        <v>629</v>
      </c>
      <c r="H142" s="4">
        <v>4.07</v>
      </c>
      <c r="I142" s="2" t="s">
        <v>420</v>
      </c>
      <c r="L142" s="2" t="s">
        <v>608</v>
      </c>
      <c r="M142" s="46" t="s">
        <v>506</v>
      </c>
    </row>
    <row r="143" spans="3:13" ht="22">
      <c r="C143" s="507" t="s">
        <v>1521</v>
      </c>
      <c r="D143" s="2" t="s">
        <v>630</v>
      </c>
      <c r="H143" s="4">
        <v>7.22</v>
      </c>
      <c r="I143" s="2" t="s">
        <v>420</v>
      </c>
      <c r="L143" s="2" t="s">
        <v>608</v>
      </c>
      <c r="M143" s="46" t="s">
        <v>506</v>
      </c>
    </row>
    <row r="144" spans="3:13" ht="22">
      <c r="C144" s="507" t="s">
        <v>1522</v>
      </c>
      <c r="D144" s="2" t="s">
        <v>631</v>
      </c>
      <c r="H144" s="4">
        <v>0.93</v>
      </c>
      <c r="I144" s="2" t="s">
        <v>420</v>
      </c>
      <c r="L144" s="2" t="s">
        <v>608</v>
      </c>
      <c r="M144" s="46" t="s">
        <v>506</v>
      </c>
    </row>
    <row r="145" spans="3:14" ht="22">
      <c r="C145" s="507" t="s">
        <v>1523</v>
      </c>
      <c r="D145" s="2" t="s">
        <v>632</v>
      </c>
      <c r="H145" s="4">
        <v>4.8600000000000003</v>
      </c>
      <c r="I145" s="2" t="s">
        <v>420</v>
      </c>
      <c r="L145" s="2" t="s">
        <v>608</v>
      </c>
      <c r="M145" s="46" t="s">
        <v>506</v>
      </c>
    </row>
    <row r="146" spans="3:14" ht="22">
      <c r="C146" s="507" t="s">
        <v>1524</v>
      </c>
      <c r="D146" s="2" t="s">
        <v>633</v>
      </c>
      <c r="H146" s="4">
        <v>8.43</v>
      </c>
      <c r="I146" s="2" t="s">
        <v>420</v>
      </c>
      <c r="L146" s="2" t="s">
        <v>608</v>
      </c>
      <c r="M146" s="46" t="s">
        <v>506</v>
      </c>
    </row>
    <row r="147" spans="3:14" ht="22">
      <c r="C147" s="507" t="s">
        <v>1525</v>
      </c>
      <c r="D147" s="2" t="s">
        <v>634</v>
      </c>
      <c r="H147" s="4">
        <v>1.32</v>
      </c>
      <c r="I147" s="2" t="s">
        <v>420</v>
      </c>
      <c r="L147" s="2" t="s">
        <v>608</v>
      </c>
      <c r="M147" s="46" t="s">
        <v>506</v>
      </c>
    </row>
    <row r="148" spans="3:14" ht="22">
      <c r="C148" s="507" t="s">
        <v>1526</v>
      </c>
      <c r="D148" s="2" t="s">
        <v>635</v>
      </c>
      <c r="H148" s="4">
        <v>4.13</v>
      </c>
      <c r="I148" s="2" t="s">
        <v>420</v>
      </c>
      <c r="L148" s="2" t="s">
        <v>608</v>
      </c>
      <c r="M148" s="46" t="s">
        <v>506</v>
      </c>
    </row>
    <row r="149" spans="3:14" ht="22">
      <c r="C149" s="507" t="s">
        <v>1527</v>
      </c>
      <c r="D149" s="2" t="s">
        <v>636</v>
      </c>
      <c r="H149" s="4">
        <v>7.32</v>
      </c>
      <c r="I149" s="2" t="s">
        <v>420</v>
      </c>
      <c r="L149" s="2" t="s">
        <v>608</v>
      </c>
      <c r="M149" s="46" t="s">
        <v>506</v>
      </c>
    </row>
    <row r="150" spans="3:14" ht="22">
      <c r="C150" s="507" t="s">
        <v>1528</v>
      </c>
      <c r="D150" s="2" t="s">
        <v>637</v>
      </c>
      <c r="H150" s="4">
        <v>0.94</v>
      </c>
      <c r="I150" s="2" t="s">
        <v>420</v>
      </c>
      <c r="L150" s="2" t="s">
        <v>608</v>
      </c>
      <c r="M150" s="46" t="s">
        <v>506</v>
      </c>
    </row>
    <row r="151" spans="3:14">
      <c r="C151" s="507" t="s">
        <v>1529</v>
      </c>
      <c r="D151" s="507" t="s">
        <v>638</v>
      </c>
      <c r="H151" s="4">
        <v>1.8</v>
      </c>
      <c r="I151" s="2" t="s">
        <v>420</v>
      </c>
      <c r="L151" s="507" t="s">
        <v>505</v>
      </c>
      <c r="M151" s="46" t="s">
        <v>508</v>
      </c>
    </row>
    <row r="152" spans="3:14" ht="22">
      <c r="C152" s="507" t="s">
        <v>1530</v>
      </c>
      <c r="D152" s="2" t="s">
        <v>639</v>
      </c>
      <c r="H152" s="4">
        <v>2.77</v>
      </c>
      <c r="I152" s="2" t="s">
        <v>420</v>
      </c>
      <c r="L152" s="2" t="s">
        <v>505</v>
      </c>
      <c r="M152" s="46" t="s">
        <v>506</v>
      </c>
    </row>
    <row r="153" spans="3:14" ht="22">
      <c r="C153" s="507" t="s">
        <v>1531</v>
      </c>
      <c r="D153" s="2" t="s">
        <v>640</v>
      </c>
      <c r="H153" s="4">
        <v>1.23</v>
      </c>
      <c r="I153" s="2" t="s">
        <v>420</v>
      </c>
      <c r="L153" s="2" t="s">
        <v>505</v>
      </c>
      <c r="M153" s="46" t="s">
        <v>506</v>
      </c>
    </row>
    <row r="154" spans="3:14" ht="22">
      <c r="C154" s="507" t="s">
        <v>1532</v>
      </c>
      <c r="D154" s="2" t="s">
        <v>641</v>
      </c>
      <c r="H154" s="4">
        <v>0.629</v>
      </c>
      <c r="I154" s="2" t="s">
        <v>420</v>
      </c>
      <c r="L154" s="2" t="s">
        <v>505</v>
      </c>
      <c r="M154" s="46" t="s">
        <v>506</v>
      </c>
      <c r="N154" s="2" t="s">
        <v>642</v>
      </c>
    </row>
    <row r="155" spans="3:14" ht="22">
      <c r="C155" s="507" t="s">
        <v>1533</v>
      </c>
      <c r="D155" s="2" t="s">
        <v>643</v>
      </c>
      <c r="H155" s="4">
        <v>1.39</v>
      </c>
      <c r="I155" s="2" t="s">
        <v>420</v>
      </c>
      <c r="L155" s="2" t="s">
        <v>505</v>
      </c>
      <c r="M155" s="46" t="s">
        <v>506</v>
      </c>
      <c r="N155" s="2" t="s">
        <v>644</v>
      </c>
    </row>
    <row r="156" spans="3:14">
      <c r="C156" s="575" t="s">
        <v>1558</v>
      </c>
      <c r="D156" s="507" t="s">
        <v>654</v>
      </c>
      <c r="H156" s="4">
        <v>5.6</v>
      </c>
      <c r="I156" s="2" t="s">
        <v>420</v>
      </c>
      <c r="L156" s="507" t="s">
        <v>505</v>
      </c>
      <c r="M156" s="46" t="s">
        <v>508</v>
      </c>
    </row>
    <row r="157" spans="3:14">
      <c r="C157" s="575" t="s">
        <v>1559</v>
      </c>
      <c r="D157" s="507" t="s">
        <v>654</v>
      </c>
      <c r="H157" s="4">
        <v>65.2</v>
      </c>
      <c r="I157" s="2" t="s">
        <v>420</v>
      </c>
      <c r="L157" s="507" t="s">
        <v>505</v>
      </c>
      <c r="M157" s="46" t="s">
        <v>508</v>
      </c>
    </row>
    <row r="158" spans="3:14">
      <c r="C158" s="575" t="s">
        <v>1560</v>
      </c>
      <c r="D158" s="507" t="s">
        <v>654</v>
      </c>
      <c r="H158" s="4">
        <v>4</v>
      </c>
      <c r="I158" s="2" t="s">
        <v>420</v>
      </c>
      <c r="L158" s="507" t="s">
        <v>505</v>
      </c>
      <c r="M158" s="46" t="s">
        <v>508</v>
      </c>
    </row>
    <row r="159" spans="3:14">
      <c r="C159" s="592" t="s">
        <v>1561</v>
      </c>
      <c r="D159" s="361" t="s">
        <v>655</v>
      </c>
      <c r="E159" s="361"/>
      <c r="F159" s="361"/>
      <c r="G159" s="361"/>
      <c r="H159" s="4">
        <v>5.8</v>
      </c>
      <c r="I159" s="361" t="s">
        <v>420</v>
      </c>
      <c r="J159" s="361"/>
      <c r="K159" s="361"/>
      <c r="L159" s="361" t="s">
        <v>505</v>
      </c>
      <c r="M159" s="46" t="s">
        <v>508</v>
      </c>
    </row>
    <row r="160" spans="3:14">
      <c r="C160" s="592" t="s">
        <v>1562</v>
      </c>
      <c r="D160" s="361" t="s">
        <v>655</v>
      </c>
      <c r="E160" s="361"/>
      <c r="F160" s="361"/>
      <c r="G160" s="361"/>
      <c r="H160" s="4">
        <v>6.2</v>
      </c>
      <c r="I160" s="361" t="s">
        <v>420</v>
      </c>
      <c r="J160" s="361"/>
      <c r="K160" s="361"/>
      <c r="L160" s="361" t="s">
        <v>505</v>
      </c>
      <c r="M160" s="46" t="s">
        <v>508</v>
      </c>
    </row>
    <row r="161" spans="3:14" ht="22">
      <c r="C161" s="507" t="s">
        <v>1534</v>
      </c>
      <c r="D161" s="2" t="s">
        <v>645</v>
      </c>
      <c r="H161" s="4">
        <v>7.8999999999999996E-5</v>
      </c>
      <c r="I161" s="2" t="s">
        <v>420</v>
      </c>
      <c r="L161" s="2" t="s">
        <v>505</v>
      </c>
      <c r="M161" s="46" t="s">
        <v>506</v>
      </c>
      <c r="N161" s="2" t="s">
        <v>646</v>
      </c>
    </row>
    <row r="162" spans="3:14" ht="22">
      <c r="C162" s="507" t="s">
        <v>1535</v>
      </c>
      <c r="D162" s="2" t="s">
        <v>647</v>
      </c>
      <c r="H162" s="4">
        <v>4.1E-5</v>
      </c>
      <c r="I162" s="2" t="s">
        <v>420</v>
      </c>
      <c r="L162" s="2" t="s">
        <v>505</v>
      </c>
      <c r="M162" s="46" t="s">
        <v>506</v>
      </c>
      <c r="N162" s="2" t="s">
        <v>540</v>
      </c>
    </row>
    <row r="163" spans="3:14" ht="22">
      <c r="C163" s="507" t="s">
        <v>1536</v>
      </c>
      <c r="D163" s="2" t="s">
        <v>648</v>
      </c>
      <c r="H163" s="4">
        <v>285.59199999999998</v>
      </c>
      <c r="I163" s="2" t="s">
        <v>420</v>
      </c>
      <c r="L163" s="2" t="s">
        <v>505</v>
      </c>
      <c r="M163" s="46" t="s">
        <v>506</v>
      </c>
    </row>
    <row r="164" spans="3:14" ht="22">
      <c r="C164" s="507" t="s">
        <v>1537</v>
      </c>
      <c r="D164" s="2" t="s">
        <v>649</v>
      </c>
      <c r="H164" s="4">
        <v>305.90199999999999</v>
      </c>
      <c r="I164" s="2" t="s">
        <v>420</v>
      </c>
      <c r="L164" s="2" t="s">
        <v>505</v>
      </c>
      <c r="M164" s="46" t="s">
        <v>506</v>
      </c>
    </row>
    <row r="165" spans="3:14" ht="22">
      <c r="C165" s="507" t="s">
        <v>1538</v>
      </c>
      <c r="D165" s="2" t="s">
        <v>650</v>
      </c>
      <c r="H165" s="4">
        <v>326.21199999999999</v>
      </c>
      <c r="I165" s="2" t="s">
        <v>420</v>
      </c>
      <c r="L165" s="2" t="s">
        <v>505</v>
      </c>
      <c r="M165" s="46" t="s">
        <v>506</v>
      </c>
    </row>
    <row r="166" spans="3:14" ht="22">
      <c r="C166" s="507" t="s">
        <v>1539</v>
      </c>
      <c r="D166" s="2" t="s">
        <v>651</v>
      </c>
      <c r="H166" s="4">
        <v>356.67700000000002</v>
      </c>
      <c r="I166" s="2" t="s">
        <v>420</v>
      </c>
      <c r="L166" s="2" t="s">
        <v>505</v>
      </c>
      <c r="M166" s="46" t="s">
        <v>506</v>
      </c>
    </row>
    <row r="167" spans="3:14" ht="22">
      <c r="C167" s="507" t="s">
        <v>1540</v>
      </c>
      <c r="D167" s="2" t="s">
        <v>652</v>
      </c>
      <c r="H167" s="4">
        <v>407.452</v>
      </c>
      <c r="I167" s="2" t="s">
        <v>420</v>
      </c>
      <c r="L167" s="2" t="s">
        <v>505</v>
      </c>
      <c r="M167" s="46" t="s">
        <v>506</v>
      </c>
    </row>
    <row r="168" spans="3:14" ht="22">
      <c r="C168" s="507" t="s">
        <v>1541</v>
      </c>
      <c r="D168" s="2" t="s">
        <v>653</v>
      </c>
      <c r="H168" s="4">
        <v>488.69200000000001</v>
      </c>
      <c r="I168" s="2" t="s">
        <v>420</v>
      </c>
      <c r="L168" s="2" t="s">
        <v>505</v>
      </c>
      <c r="M168" s="46" t="s">
        <v>506</v>
      </c>
    </row>
    <row r="169" spans="3:14" ht="22">
      <c r="C169" s="575" t="s">
        <v>1563</v>
      </c>
      <c r="D169" s="2" t="s">
        <v>656</v>
      </c>
      <c r="H169" s="4">
        <v>1313</v>
      </c>
      <c r="I169" s="2" t="s">
        <v>420</v>
      </c>
      <c r="L169" s="2" t="s">
        <v>505</v>
      </c>
      <c r="M169" s="46" t="s">
        <v>506</v>
      </c>
    </row>
    <row r="170" spans="3:14" ht="22">
      <c r="C170" s="575" t="s">
        <v>1564</v>
      </c>
      <c r="D170" s="2" t="s">
        <v>657</v>
      </c>
      <c r="H170" s="4">
        <v>638</v>
      </c>
      <c r="I170" s="2" t="s">
        <v>420</v>
      </c>
      <c r="L170" s="2" t="s">
        <v>505</v>
      </c>
      <c r="M170" s="46" t="s">
        <v>506</v>
      </c>
    </row>
    <row r="171" spans="3:14" ht="22">
      <c r="C171" s="575" t="s">
        <v>1565</v>
      </c>
      <c r="D171" s="2" t="s">
        <v>658</v>
      </c>
      <c r="H171" s="4">
        <v>336</v>
      </c>
      <c r="I171" s="2" t="s">
        <v>420</v>
      </c>
      <c r="L171" s="2" t="s">
        <v>505</v>
      </c>
      <c r="M171" s="46" t="s">
        <v>506</v>
      </c>
    </row>
    <row r="172" spans="3:14" ht="22">
      <c r="C172" s="575" t="s">
        <v>1566</v>
      </c>
      <c r="D172" s="2" t="s">
        <v>659</v>
      </c>
      <c r="H172" s="4">
        <v>420</v>
      </c>
      <c r="I172" s="2" t="s">
        <v>420</v>
      </c>
      <c r="L172" s="2" t="s">
        <v>505</v>
      </c>
      <c r="M172" s="46" t="s">
        <v>506</v>
      </c>
    </row>
    <row r="173" spans="3:14" ht="22">
      <c r="C173" s="507" t="s">
        <v>1542</v>
      </c>
      <c r="D173" s="2" t="s">
        <v>661</v>
      </c>
      <c r="H173" s="4">
        <v>28</v>
      </c>
      <c r="I173" s="2" t="s">
        <v>420</v>
      </c>
      <c r="L173" s="2" t="s">
        <v>247</v>
      </c>
      <c r="M173" s="46" t="s">
        <v>506</v>
      </c>
    </row>
    <row r="174" spans="3:14" ht="22">
      <c r="C174" s="507" t="s">
        <v>1543</v>
      </c>
      <c r="D174" s="2" t="s">
        <v>662</v>
      </c>
      <c r="H174" s="4">
        <v>19</v>
      </c>
      <c r="I174" s="2" t="s">
        <v>420</v>
      </c>
      <c r="L174" s="2" t="s">
        <v>505</v>
      </c>
      <c r="M174" s="46" t="s">
        <v>506</v>
      </c>
    </row>
    <row r="175" spans="3:14">
      <c r="C175" s="592" t="s">
        <v>1552</v>
      </c>
      <c r="D175" s="361" t="s">
        <v>507</v>
      </c>
      <c r="E175" s="361"/>
      <c r="F175" s="361"/>
      <c r="G175" s="361"/>
      <c r="H175" s="4">
        <v>5.9</v>
      </c>
      <c r="I175" s="361" t="s">
        <v>420</v>
      </c>
      <c r="J175" s="361"/>
      <c r="K175" s="361"/>
      <c r="L175" s="361" t="s">
        <v>505</v>
      </c>
      <c r="M175" s="46" t="s">
        <v>508</v>
      </c>
    </row>
    <row r="176" spans="3:14">
      <c r="C176" s="592" t="s">
        <v>1553</v>
      </c>
      <c r="D176" s="361" t="s">
        <v>507</v>
      </c>
      <c r="E176" s="361"/>
      <c r="F176" s="361"/>
      <c r="G176" s="361"/>
      <c r="H176" s="4">
        <v>13.9</v>
      </c>
      <c r="I176" s="361" t="s">
        <v>420</v>
      </c>
      <c r="J176" s="361"/>
      <c r="K176" s="361"/>
      <c r="L176" s="361" t="s">
        <v>505</v>
      </c>
      <c r="M176" s="46" t="s">
        <v>508</v>
      </c>
    </row>
    <row r="177" spans="3:14">
      <c r="C177" s="592" t="s">
        <v>1554</v>
      </c>
      <c r="D177" s="361" t="s">
        <v>660</v>
      </c>
      <c r="E177" s="361"/>
      <c r="F177" s="361"/>
      <c r="G177" s="361"/>
      <c r="H177" s="4">
        <v>18.600000000000001</v>
      </c>
      <c r="I177" s="361" t="s">
        <v>420</v>
      </c>
      <c r="J177" s="361"/>
      <c r="K177" s="361"/>
      <c r="L177" s="361" t="s">
        <v>505</v>
      </c>
      <c r="M177" s="46" t="s">
        <v>508</v>
      </c>
    </row>
    <row r="178" spans="3:14">
      <c r="C178" s="575" t="s">
        <v>1555</v>
      </c>
      <c r="D178" s="507" t="s">
        <v>507</v>
      </c>
      <c r="H178" s="4">
        <v>10</v>
      </c>
      <c r="I178" s="2" t="s">
        <v>420</v>
      </c>
      <c r="L178" s="507" t="s">
        <v>505</v>
      </c>
      <c r="M178" s="46" t="s">
        <v>508</v>
      </c>
    </row>
    <row r="179" spans="3:14">
      <c r="C179" s="575" t="s">
        <v>1556</v>
      </c>
      <c r="D179" s="507" t="s">
        <v>507</v>
      </c>
      <c r="H179" s="4">
        <v>84.4</v>
      </c>
      <c r="I179" s="2" t="s">
        <v>420</v>
      </c>
      <c r="L179" s="507" t="s">
        <v>505</v>
      </c>
      <c r="M179" s="46" t="s">
        <v>508</v>
      </c>
    </row>
    <row r="180" spans="3:14">
      <c r="C180" s="575" t="s">
        <v>1557</v>
      </c>
      <c r="D180" s="507" t="s">
        <v>507</v>
      </c>
      <c r="H180" s="4">
        <v>4</v>
      </c>
      <c r="I180" s="2" t="s">
        <v>420</v>
      </c>
      <c r="L180" s="507" t="s">
        <v>505</v>
      </c>
      <c r="M180" s="46" t="s">
        <v>508</v>
      </c>
    </row>
    <row r="181" spans="3:14" ht="22">
      <c r="C181" s="507" t="s">
        <v>1544</v>
      </c>
      <c r="D181" s="2" t="s">
        <v>663</v>
      </c>
      <c r="H181" s="4">
        <v>363</v>
      </c>
      <c r="I181" s="2" t="s">
        <v>420</v>
      </c>
      <c r="L181" s="2" t="s">
        <v>505</v>
      </c>
      <c r="M181" s="46" t="s">
        <v>506</v>
      </c>
    </row>
    <row r="182" spans="3:14" ht="22">
      <c r="C182" s="507" t="s">
        <v>1545</v>
      </c>
      <c r="D182" s="2" t="s">
        <v>664</v>
      </c>
      <c r="H182" s="4">
        <v>1.2</v>
      </c>
      <c r="I182" s="2" t="s">
        <v>420</v>
      </c>
      <c r="L182" s="2" t="s">
        <v>505</v>
      </c>
      <c r="M182" s="46" t="s">
        <v>506</v>
      </c>
    </row>
    <row r="183" spans="3:14">
      <c r="C183" s="361" t="s">
        <v>1546</v>
      </c>
      <c r="D183" s="361" t="s">
        <v>665</v>
      </c>
      <c r="E183" s="361"/>
      <c r="F183" s="361"/>
      <c r="G183" s="361"/>
      <c r="H183" s="4">
        <v>18.399999999999999</v>
      </c>
      <c r="I183" s="361" t="s">
        <v>420</v>
      </c>
      <c r="J183" s="361"/>
      <c r="K183" s="361"/>
      <c r="L183" s="361" t="s">
        <v>505</v>
      </c>
      <c r="M183" s="46" t="s">
        <v>508</v>
      </c>
    </row>
    <row r="184" spans="3:14">
      <c r="C184" s="361" t="s">
        <v>1547</v>
      </c>
      <c r="D184" s="361" t="s">
        <v>665</v>
      </c>
      <c r="E184" s="361"/>
      <c r="F184" s="361"/>
      <c r="G184" s="361"/>
      <c r="H184" s="4">
        <v>24.8</v>
      </c>
      <c r="I184" s="361" t="s">
        <v>420</v>
      </c>
      <c r="J184" s="361"/>
      <c r="K184" s="361"/>
      <c r="L184" s="361" t="s">
        <v>505</v>
      </c>
      <c r="M184" s="46" t="s">
        <v>508</v>
      </c>
    </row>
    <row r="185" spans="3:14">
      <c r="C185" s="361" t="s">
        <v>1548</v>
      </c>
      <c r="D185" s="361" t="s">
        <v>665</v>
      </c>
      <c r="E185" s="361"/>
      <c r="F185" s="361"/>
      <c r="G185" s="361"/>
      <c r="H185" s="4">
        <v>25.3</v>
      </c>
      <c r="I185" s="361" t="s">
        <v>420</v>
      </c>
      <c r="J185" s="361"/>
      <c r="K185" s="361"/>
      <c r="L185" s="361" t="s">
        <v>505</v>
      </c>
      <c r="M185" s="46" t="s">
        <v>508</v>
      </c>
    </row>
    <row r="186" spans="3:14">
      <c r="C186" s="507" t="s">
        <v>1549</v>
      </c>
      <c r="D186" s="507" t="s">
        <v>665</v>
      </c>
      <c r="H186" s="4">
        <v>135</v>
      </c>
      <c r="I186" s="2" t="s">
        <v>420</v>
      </c>
      <c r="L186" s="507" t="s">
        <v>505</v>
      </c>
      <c r="M186" s="46" t="s">
        <v>508</v>
      </c>
    </row>
    <row r="187" spans="3:14">
      <c r="C187" s="507" t="s">
        <v>1550</v>
      </c>
      <c r="D187" s="507" t="s">
        <v>665</v>
      </c>
      <c r="H187" s="4">
        <v>39.700000000000003</v>
      </c>
      <c r="I187" s="2" t="s">
        <v>420</v>
      </c>
      <c r="L187" s="507" t="s">
        <v>505</v>
      </c>
      <c r="M187" s="46" t="s">
        <v>508</v>
      </c>
    </row>
    <row r="188" spans="3:14">
      <c r="C188" s="592" t="s">
        <v>1567</v>
      </c>
      <c r="D188" s="361" t="s">
        <v>666</v>
      </c>
      <c r="E188" s="361"/>
      <c r="F188" s="361"/>
      <c r="G188" s="361"/>
      <c r="H188" s="4">
        <v>6.3</v>
      </c>
      <c r="I188" s="361" t="s">
        <v>420</v>
      </c>
      <c r="J188" s="361"/>
      <c r="K188" s="361"/>
      <c r="L188" s="361" t="s">
        <v>505</v>
      </c>
      <c r="M188" s="160" t="s">
        <v>508</v>
      </c>
    </row>
    <row r="189" spans="3:14">
      <c r="C189" s="507" t="s">
        <v>1551</v>
      </c>
      <c r="D189" s="2" t="s">
        <v>667</v>
      </c>
      <c r="E189" s="4"/>
      <c r="F189" s="4"/>
      <c r="G189" s="4"/>
      <c r="H189" s="4">
        <v>213</v>
      </c>
      <c r="I189" s="2" t="s">
        <v>420</v>
      </c>
      <c r="J189" s="4">
        <v>2102.4</v>
      </c>
      <c r="K189" s="2" t="s">
        <v>421</v>
      </c>
      <c r="L189" s="2" t="s">
        <v>668</v>
      </c>
      <c r="M189" s="45" t="s">
        <v>669</v>
      </c>
    </row>
    <row r="190" spans="3:14" ht="22">
      <c r="C190" s="507" t="s">
        <v>1645</v>
      </c>
      <c r="D190" s="2" t="s">
        <v>794</v>
      </c>
      <c r="H190" s="4">
        <v>6.45</v>
      </c>
      <c r="I190" s="2" t="s">
        <v>420</v>
      </c>
      <c r="L190" s="2" t="s">
        <v>505</v>
      </c>
      <c r="M190" s="46" t="s">
        <v>506</v>
      </c>
      <c r="N190" s="2" t="s">
        <v>795</v>
      </c>
    </row>
    <row r="191" spans="3:14" ht="22">
      <c r="C191" s="507" t="s">
        <v>1646</v>
      </c>
      <c r="D191" s="2" t="s">
        <v>796</v>
      </c>
      <c r="H191" s="4">
        <v>377</v>
      </c>
      <c r="I191" s="2" t="s">
        <v>420</v>
      </c>
      <c r="L191" s="2" t="s">
        <v>505</v>
      </c>
      <c r="M191" s="46" t="s">
        <v>506</v>
      </c>
    </row>
    <row r="192" spans="3:14" ht="22">
      <c r="C192" s="507" t="s">
        <v>1647</v>
      </c>
      <c r="D192" s="2" t="s">
        <v>797</v>
      </c>
      <c r="H192" s="4">
        <v>2654</v>
      </c>
      <c r="I192" s="2" t="s">
        <v>420</v>
      </c>
      <c r="L192" s="2" t="s">
        <v>505</v>
      </c>
      <c r="M192" s="46" t="s">
        <v>506</v>
      </c>
    </row>
    <row r="193" spans="3:14" ht="22">
      <c r="C193" s="507" t="s">
        <v>1648</v>
      </c>
      <c r="D193" s="2" t="s">
        <v>798</v>
      </c>
      <c r="H193" s="4">
        <v>195</v>
      </c>
      <c r="I193" s="2" t="s">
        <v>420</v>
      </c>
      <c r="L193" s="2" t="s">
        <v>505</v>
      </c>
      <c r="M193" s="46" t="s">
        <v>506</v>
      </c>
    </row>
    <row r="194" spans="3:14" ht="22">
      <c r="C194" s="507" t="s">
        <v>1649</v>
      </c>
      <c r="D194" s="2" t="s">
        <v>799</v>
      </c>
      <c r="H194" s="4">
        <v>105</v>
      </c>
      <c r="I194" s="2" t="s">
        <v>420</v>
      </c>
      <c r="L194" s="2" t="s">
        <v>505</v>
      </c>
      <c r="M194" s="46" t="s">
        <v>506</v>
      </c>
    </row>
    <row r="195" spans="3:14" ht="22">
      <c r="C195" s="507" t="s">
        <v>1650</v>
      </c>
      <c r="D195" s="2" t="s">
        <v>800</v>
      </c>
      <c r="H195" s="4">
        <v>6</v>
      </c>
      <c r="I195" s="2" t="s">
        <v>420</v>
      </c>
      <c r="L195" s="2" t="s">
        <v>505</v>
      </c>
      <c r="M195" s="46" t="s">
        <v>506</v>
      </c>
    </row>
    <row r="196" spans="3:14" ht="22">
      <c r="C196" s="507" t="s">
        <v>1651</v>
      </c>
      <c r="D196" s="2" t="s">
        <v>801</v>
      </c>
      <c r="H196" s="4">
        <v>4.36E-2</v>
      </c>
      <c r="I196" s="2" t="s">
        <v>420</v>
      </c>
      <c r="L196" s="2" t="s">
        <v>505</v>
      </c>
      <c r="M196" s="46" t="s">
        <v>506</v>
      </c>
    </row>
    <row r="197" spans="3:14" ht="22">
      <c r="C197" s="507" t="s">
        <v>1652</v>
      </c>
      <c r="D197" s="2" t="s">
        <v>802</v>
      </c>
      <c r="H197" s="4">
        <v>0.13600000000000001</v>
      </c>
      <c r="I197" s="2" t="s">
        <v>420</v>
      </c>
      <c r="L197" s="2" t="s">
        <v>505</v>
      </c>
      <c r="M197" s="46" t="s">
        <v>506</v>
      </c>
    </row>
    <row r="198" spans="3:14" ht="22">
      <c r="C198" s="507" t="s">
        <v>1653</v>
      </c>
      <c r="D198" s="2" t="s">
        <v>803</v>
      </c>
      <c r="H198" s="4">
        <v>17</v>
      </c>
      <c r="I198" s="2" t="s">
        <v>420</v>
      </c>
      <c r="L198" s="2" t="s">
        <v>505</v>
      </c>
      <c r="M198" s="46" t="s">
        <v>506</v>
      </c>
    </row>
    <row r="199" spans="3:14" ht="22">
      <c r="C199" s="507" t="s">
        <v>1654</v>
      </c>
      <c r="D199" s="2" t="s">
        <v>804</v>
      </c>
      <c r="H199" s="4">
        <v>43</v>
      </c>
      <c r="I199" s="2" t="s">
        <v>420</v>
      </c>
      <c r="L199" s="2" t="s">
        <v>505</v>
      </c>
      <c r="M199" s="46" t="s">
        <v>506</v>
      </c>
    </row>
    <row r="200" spans="3:14" ht="22">
      <c r="C200" s="507" t="s">
        <v>1655</v>
      </c>
      <c r="D200" s="2" t="s">
        <v>805</v>
      </c>
      <c r="H200" s="4">
        <v>28</v>
      </c>
      <c r="I200" s="2" t="s">
        <v>420</v>
      </c>
      <c r="L200" s="2" t="s">
        <v>505</v>
      </c>
      <c r="M200" s="46" t="s">
        <v>506</v>
      </c>
    </row>
    <row r="201" spans="3:14" ht="22">
      <c r="C201" s="507" t="s">
        <v>1656</v>
      </c>
      <c r="D201" s="2" t="s">
        <v>806</v>
      </c>
      <c r="H201" s="4">
        <v>3.8E-3</v>
      </c>
      <c r="I201" s="2" t="s">
        <v>420</v>
      </c>
      <c r="L201" s="2" t="s">
        <v>505</v>
      </c>
      <c r="M201" s="46" t="s">
        <v>506</v>
      </c>
      <c r="N201" s="2" t="s">
        <v>807</v>
      </c>
    </row>
    <row r="202" spans="3:14" ht="22">
      <c r="C202" s="507" t="s">
        <v>1657</v>
      </c>
      <c r="D202" s="2" t="s">
        <v>808</v>
      </c>
      <c r="H202" s="4">
        <v>2.3E-3</v>
      </c>
      <c r="I202" s="2" t="s">
        <v>420</v>
      </c>
      <c r="L202" s="2" t="s">
        <v>505</v>
      </c>
      <c r="M202" s="46" t="s">
        <v>506</v>
      </c>
      <c r="N202" s="2" t="s">
        <v>809</v>
      </c>
    </row>
    <row r="203" spans="3:14" ht="22">
      <c r="C203" s="507" t="s">
        <v>1658</v>
      </c>
      <c r="D203" s="2" t="s">
        <v>810</v>
      </c>
      <c r="H203" s="4">
        <v>2.9999999999999997E-4</v>
      </c>
      <c r="I203" s="2" t="s">
        <v>420</v>
      </c>
      <c r="L203" s="2" t="s">
        <v>505</v>
      </c>
      <c r="M203" s="46" t="s">
        <v>506</v>
      </c>
      <c r="N203" s="2" t="s">
        <v>811</v>
      </c>
    </row>
    <row r="204" spans="3:14">
      <c r="C204" s="507" t="s">
        <v>1659</v>
      </c>
      <c r="D204" s="507" t="s">
        <v>812</v>
      </c>
      <c r="H204" s="4">
        <v>65.599999999999994</v>
      </c>
      <c r="I204" s="2" t="s">
        <v>420</v>
      </c>
      <c r="L204" s="507" t="s">
        <v>505</v>
      </c>
      <c r="M204" s="46" t="s">
        <v>508</v>
      </c>
    </row>
    <row r="205" spans="3:14" ht="22">
      <c r="C205" s="507" t="s">
        <v>1660</v>
      </c>
      <c r="D205" s="2" t="s">
        <v>813</v>
      </c>
      <c r="H205" s="4">
        <v>1.7</v>
      </c>
      <c r="I205" s="2" t="s">
        <v>420</v>
      </c>
      <c r="L205" s="2" t="s">
        <v>505</v>
      </c>
      <c r="M205" s="46" t="s">
        <v>506</v>
      </c>
    </row>
    <row r="206" spans="3:14" ht="22">
      <c r="C206" s="507" t="s">
        <v>1661</v>
      </c>
      <c r="D206" s="2" t="s">
        <v>814</v>
      </c>
      <c r="H206" s="4">
        <v>1335</v>
      </c>
      <c r="I206" s="2" t="s">
        <v>420</v>
      </c>
      <c r="L206" s="2" t="s">
        <v>505</v>
      </c>
      <c r="M206" s="46" t="s">
        <v>506</v>
      </c>
    </row>
    <row r="207" spans="3:14" ht="22">
      <c r="C207" s="507" t="s">
        <v>1662</v>
      </c>
      <c r="D207" s="2" t="s">
        <v>815</v>
      </c>
      <c r="H207" s="4">
        <v>37</v>
      </c>
      <c r="I207" s="2" t="s">
        <v>420</v>
      </c>
      <c r="L207" s="2" t="s">
        <v>505</v>
      </c>
      <c r="M207" s="46" t="s">
        <v>506</v>
      </c>
    </row>
    <row r="208" spans="3:14" ht="22">
      <c r="C208" s="507" t="s">
        <v>1663</v>
      </c>
      <c r="D208" s="2" t="s">
        <v>816</v>
      </c>
      <c r="H208" s="4">
        <v>6.46</v>
      </c>
      <c r="I208" s="2" t="s">
        <v>420</v>
      </c>
      <c r="L208" s="2" t="s">
        <v>505</v>
      </c>
      <c r="M208" s="46" t="s">
        <v>506</v>
      </c>
    </row>
    <row r="209" spans="3:14" ht="22">
      <c r="C209" s="507" t="s">
        <v>1664</v>
      </c>
      <c r="D209" s="2" t="s">
        <v>817</v>
      </c>
      <c r="H209" s="4">
        <v>8.25</v>
      </c>
      <c r="I209" s="2" t="s">
        <v>420</v>
      </c>
      <c r="L209" s="2" t="s">
        <v>505</v>
      </c>
      <c r="M209" s="46" t="s">
        <v>506</v>
      </c>
    </row>
    <row r="210" spans="3:14" ht="22">
      <c r="C210" s="507" t="s">
        <v>1665</v>
      </c>
      <c r="D210" s="2" t="s">
        <v>818</v>
      </c>
      <c r="H210" s="4">
        <v>5.2600000000000001E-2</v>
      </c>
      <c r="I210" s="2" t="s">
        <v>420</v>
      </c>
      <c r="L210" s="2" t="s">
        <v>505</v>
      </c>
      <c r="M210" s="46" t="s">
        <v>506</v>
      </c>
      <c r="N210" s="2" t="s">
        <v>819</v>
      </c>
    </row>
    <row r="211" spans="3:14" ht="22">
      <c r="C211" s="507" t="s">
        <v>1666</v>
      </c>
      <c r="D211" s="2" t="s">
        <v>820</v>
      </c>
      <c r="H211" s="4">
        <v>2.53E-2</v>
      </c>
      <c r="I211" s="2" t="s">
        <v>420</v>
      </c>
      <c r="L211" s="2" t="s">
        <v>505</v>
      </c>
      <c r="M211" s="46" t="s">
        <v>506</v>
      </c>
      <c r="N211" s="2" t="s">
        <v>821</v>
      </c>
    </row>
    <row r="212" spans="3:14" ht="22">
      <c r="C212" s="507" t="s">
        <v>1667</v>
      </c>
      <c r="D212" s="2" t="s">
        <v>822</v>
      </c>
      <c r="H212" s="4">
        <v>8.3000000000000001E-3</v>
      </c>
      <c r="I212" s="2" t="s">
        <v>420</v>
      </c>
      <c r="L212" s="2" t="s">
        <v>505</v>
      </c>
      <c r="M212" s="46" t="s">
        <v>506</v>
      </c>
      <c r="N212" s="2" t="s">
        <v>823</v>
      </c>
    </row>
    <row r="213" spans="3:14" ht="22">
      <c r="C213" s="507" t="s">
        <v>1668</v>
      </c>
      <c r="D213" s="2" t="s">
        <v>824</v>
      </c>
      <c r="H213" s="4">
        <v>3.78</v>
      </c>
      <c r="I213" s="2" t="s">
        <v>420</v>
      </c>
      <c r="L213" s="2" t="s">
        <v>505</v>
      </c>
      <c r="M213" s="46" t="s">
        <v>506</v>
      </c>
    </row>
    <row r="214" spans="3:14" ht="22">
      <c r="C214" s="575" t="s">
        <v>1568</v>
      </c>
      <c r="D214" s="2" t="s">
        <v>670</v>
      </c>
      <c r="H214" s="2">
        <v>1.6999999999999999E-3</v>
      </c>
      <c r="I214" s="2" t="s">
        <v>420</v>
      </c>
      <c r="L214" s="507" t="s">
        <v>671</v>
      </c>
      <c r="M214" s="46" t="s">
        <v>672</v>
      </c>
      <c r="N214" s="2" t="s">
        <v>673</v>
      </c>
    </row>
    <row r="215" spans="3:14" ht="22">
      <c r="C215" s="575" t="s">
        <v>1569</v>
      </c>
      <c r="D215" s="2" t="s">
        <v>670</v>
      </c>
      <c r="H215" s="2">
        <v>1.4E-3</v>
      </c>
      <c r="I215" s="2" t="s">
        <v>420</v>
      </c>
      <c r="L215" s="507" t="s">
        <v>671</v>
      </c>
      <c r="M215" s="46" t="s">
        <v>674</v>
      </c>
      <c r="N215" s="2" t="s">
        <v>675</v>
      </c>
    </row>
    <row r="216" spans="3:14" ht="22">
      <c r="C216" s="575" t="s">
        <v>1570</v>
      </c>
      <c r="D216" s="2" t="s">
        <v>670</v>
      </c>
      <c r="H216" s="2">
        <v>7.3999999999999999E-4</v>
      </c>
      <c r="I216" s="2" t="s">
        <v>420</v>
      </c>
      <c r="L216" s="507" t="s">
        <v>671</v>
      </c>
      <c r="M216" s="46" t="s">
        <v>676</v>
      </c>
      <c r="N216" s="2" t="s">
        <v>677</v>
      </c>
    </row>
    <row r="217" spans="3:14" ht="22">
      <c r="C217" s="575" t="s">
        <v>1571</v>
      </c>
      <c r="D217" s="2" t="s">
        <v>678</v>
      </c>
      <c r="H217" s="2">
        <v>4.8000000000000001E-5</v>
      </c>
      <c r="I217" s="2" t="s">
        <v>420</v>
      </c>
      <c r="L217" s="507" t="s">
        <v>671</v>
      </c>
      <c r="M217" s="46" t="s">
        <v>679</v>
      </c>
      <c r="N217" s="2" t="s">
        <v>680</v>
      </c>
    </row>
    <row r="218" spans="3:14" ht="22">
      <c r="C218" s="575" t="s">
        <v>1572</v>
      </c>
      <c r="D218" s="2" t="s">
        <v>678</v>
      </c>
      <c r="H218" s="2">
        <v>4.0000000000000003E-5</v>
      </c>
      <c r="I218" s="2" t="s">
        <v>420</v>
      </c>
      <c r="L218" s="507" t="s">
        <v>671</v>
      </c>
      <c r="M218" s="46" t="s">
        <v>681</v>
      </c>
      <c r="N218" s="2" t="s">
        <v>682</v>
      </c>
    </row>
    <row r="219" spans="3:14" ht="22">
      <c r="C219" s="575" t="s">
        <v>1573</v>
      </c>
      <c r="D219" s="2" t="s">
        <v>678</v>
      </c>
      <c r="H219" s="2">
        <v>2.0999999999999999E-5</v>
      </c>
      <c r="I219" s="2" t="s">
        <v>420</v>
      </c>
      <c r="L219" s="507" t="s">
        <v>671</v>
      </c>
      <c r="M219" s="46" t="s">
        <v>683</v>
      </c>
      <c r="N219" s="2" t="s">
        <v>684</v>
      </c>
    </row>
    <row r="220" spans="3:14" ht="22">
      <c r="C220" s="575" t="s">
        <v>1574</v>
      </c>
      <c r="D220" s="2" t="s">
        <v>685</v>
      </c>
      <c r="H220" s="2">
        <v>1.4E-2</v>
      </c>
      <c r="I220" s="2" t="s">
        <v>420</v>
      </c>
      <c r="L220" s="507" t="s">
        <v>671</v>
      </c>
      <c r="M220" s="46" t="s">
        <v>686</v>
      </c>
      <c r="N220" s="2" t="s">
        <v>687</v>
      </c>
    </row>
    <row r="221" spans="3:14" ht="22">
      <c r="C221" s="575" t="s">
        <v>1575</v>
      </c>
      <c r="D221" s="2" t="s">
        <v>685</v>
      </c>
      <c r="H221" s="2">
        <v>1.0999999999999999E-2</v>
      </c>
      <c r="I221" s="2" t="s">
        <v>420</v>
      </c>
      <c r="L221" s="507" t="s">
        <v>671</v>
      </c>
      <c r="M221" s="46" t="s">
        <v>688</v>
      </c>
      <c r="N221" s="2" t="s">
        <v>689</v>
      </c>
    </row>
    <row r="222" spans="3:14" ht="22">
      <c r="C222" s="575" t="s">
        <v>1576</v>
      </c>
      <c r="D222" s="2" t="s">
        <v>685</v>
      </c>
      <c r="H222" s="2">
        <v>5.7999999999999996E-3</v>
      </c>
      <c r="I222" s="2" t="s">
        <v>420</v>
      </c>
      <c r="L222" s="507" t="s">
        <v>671</v>
      </c>
      <c r="M222" s="46" t="s">
        <v>690</v>
      </c>
      <c r="N222" s="2" t="s">
        <v>691</v>
      </c>
    </row>
    <row r="223" spans="3:14" ht="22">
      <c r="C223" s="575" t="s">
        <v>1577</v>
      </c>
      <c r="D223" s="2" t="s">
        <v>692</v>
      </c>
      <c r="H223" s="2">
        <v>7.1999999999999998E-3</v>
      </c>
      <c r="I223" s="2" t="s">
        <v>420</v>
      </c>
      <c r="L223" s="507" t="s">
        <v>671</v>
      </c>
      <c r="M223" s="46" t="s">
        <v>693</v>
      </c>
      <c r="N223" s="2" t="s">
        <v>694</v>
      </c>
    </row>
    <row r="224" spans="3:14" ht="22">
      <c r="C224" s="575" t="s">
        <v>1578</v>
      </c>
      <c r="D224" s="2" t="s">
        <v>692</v>
      </c>
      <c r="H224" s="2">
        <v>5.7000000000000002E-3</v>
      </c>
      <c r="I224" s="2" t="s">
        <v>420</v>
      </c>
      <c r="L224" s="507" t="s">
        <v>671</v>
      </c>
      <c r="M224" s="46" t="s">
        <v>695</v>
      </c>
      <c r="N224" s="2" t="s">
        <v>696</v>
      </c>
    </row>
    <row r="225" spans="3:14" ht="22">
      <c r="C225" s="575" t="s">
        <v>1579</v>
      </c>
      <c r="D225" s="2" t="s">
        <v>692</v>
      </c>
      <c r="H225" s="2">
        <v>3.0999999999999999E-3</v>
      </c>
      <c r="I225" s="2" t="s">
        <v>420</v>
      </c>
      <c r="L225" s="507" t="s">
        <v>671</v>
      </c>
      <c r="M225" s="46" t="s">
        <v>697</v>
      </c>
      <c r="N225" s="2" t="s">
        <v>698</v>
      </c>
    </row>
    <row r="226" spans="3:14" ht="22">
      <c r="C226" s="575" t="s">
        <v>1580</v>
      </c>
      <c r="D226" s="2" t="s">
        <v>699</v>
      </c>
      <c r="H226" s="2">
        <v>2.5000000000000001E-3</v>
      </c>
      <c r="I226" s="2" t="s">
        <v>420</v>
      </c>
      <c r="L226" s="507" t="s">
        <v>671</v>
      </c>
      <c r="M226" s="46" t="s">
        <v>700</v>
      </c>
      <c r="N226" s="2" t="s">
        <v>701</v>
      </c>
    </row>
    <row r="227" spans="3:14" ht="22">
      <c r="C227" s="575" t="s">
        <v>1581</v>
      </c>
      <c r="D227" s="2" t="s">
        <v>699</v>
      </c>
      <c r="H227" s="2">
        <v>2E-3</v>
      </c>
      <c r="I227" s="2" t="s">
        <v>420</v>
      </c>
      <c r="L227" s="507" t="s">
        <v>671</v>
      </c>
      <c r="M227" s="46" t="s">
        <v>702</v>
      </c>
      <c r="N227" s="2" t="s">
        <v>703</v>
      </c>
    </row>
    <row r="228" spans="3:14" ht="22">
      <c r="C228" s="575" t="s">
        <v>1582</v>
      </c>
      <c r="D228" s="2" t="s">
        <v>699</v>
      </c>
      <c r="H228" s="2">
        <v>1.1000000000000001E-3</v>
      </c>
      <c r="I228" s="2" t="s">
        <v>420</v>
      </c>
      <c r="L228" s="507" t="s">
        <v>671</v>
      </c>
      <c r="M228" s="46" t="s">
        <v>704</v>
      </c>
      <c r="N228" s="2" t="s">
        <v>705</v>
      </c>
    </row>
    <row r="229" spans="3:14" ht="22">
      <c r="C229" s="575" t="s">
        <v>1583</v>
      </c>
      <c r="D229" s="2" t="s">
        <v>706</v>
      </c>
      <c r="H229" s="2">
        <v>4.4999999999999998E-2</v>
      </c>
      <c r="I229" s="2" t="s">
        <v>420</v>
      </c>
      <c r="L229" s="507" t="s">
        <v>671</v>
      </c>
      <c r="M229" s="46" t="s">
        <v>707</v>
      </c>
      <c r="N229" s="2" t="s">
        <v>687</v>
      </c>
    </row>
    <row r="230" spans="3:14" ht="22">
      <c r="C230" s="575" t="s">
        <v>1584</v>
      </c>
      <c r="D230" s="2" t="s">
        <v>706</v>
      </c>
      <c r="H230" s="2">
        <v>3.5000000000000003E-2</v>
      </c>
      <c r="I230" s="2" t="s">
        <v>420</v>
      </c>
      <c r="L230" s="507" t="s">
        <v>671</v>
      </c>
      <c r="M230" s="46" t="s">
        <v>708</v>
      </c>
      <c r="N230" s="2" t="s">
        <v>689</v>
      </c>
    </row>
    <row r="231" spans="3:14" ht="22">
      <c r="C231" s="575" t="s">
        <v>1585</v>
      </c>
      <c r="D231" s="2" t="s">
        <v>706</v>
      </c>
      <c r="H231" s="2">
        <v>1.9E-2</v>
      </c>
      <c r="I231" s="2" t="s">
        <v>420</v>
      </c>
      <c r="L231" s="507" t="s">
        <v>671</v>
      </c>
      <c r="M231" s="46" t="s">
        <v>709</v>
      </c>
      <c r="N231" s="2" t="s">
        <v>691</v>
      </c>
    </row>
    <row r="232" spans="3:14" ht="22">
      <c r="C232" s="575" t="s">
        <v>1586</v>
      </c>
      <c r="D232" s="2" t="s">
        <v>710</v>
      </c>
      <c r="H232" s="2">
        <v>6.7999999999999996E-3</v>
      </c>
      <c r="I232" s="2" t="s">
        <v>420</v>
      </c>
      <c r="L232" s="507" t="s">
        <v>671</v>
      </c>
      <c r="M232" s="46" t="s">
        <v>711</v>
      </c>
      <c r="N232" s="2" t="s">
        <v>673</v>
      </c>
    </row>
    <row r="233" spans="3:14" ht="22">
      <c r="C233" s="575" t="s">
        <v>1587</v>
      </c>
      <c r="D233" s="2" t="s">
        <v>710</v>
      </c>
      <c r="H233" s="2">
        <v>5.4000000000000003E-3</v>
      </c>
      <c r="I233" s="2" t="s">
        <v>420</v>
      </c>
      <c r="L233" s="507" t="s">
        <v>671</v>
      </c>
      <c r="M233" s="46" t="s">
        <v>712</v>
      </c>
      <c r="N233" s="2" t="s">
        <v>675</v>
      </c>
    </row>
    <row r="234" spans="3:14" ht="22">
      <c r="C234" s="575" t="s">
        <v>1588</v>
      </c>
      <c r="D234" s="2" t="s">
        <v>710</v>
      </c>
      <c r="H234" s="2">
        <v>2.8999999999999998E-3</v>
      </c>
      <c r="I234" s="2" t="s">
        <v>420</v>
      </c>
      <c r="L234" s="507" t="s">
        <v>671</v>
      </c>
      <c r="M234" s="46" t="s">
        <v>713</v>
      </c>
      <c r="N234" s="2" t="s">
        <v>677</v>
      </c>
    </row>
    <row r="235" spans="3:14" ht="22">
      <c r="C235" s="575" t="s">
        <v>1589</v>
      </c>
      <c r="D235" s="2" t="s">
        <v>714</v>
      </c>
      <c r="H235" s="2">
        <v>1.7000000000000001E-4</v>
      </c>
      <c r="I235" s="2" t="s">
        <v>420</v>
      </c>
      <c r="L235" s="507" t="s">
        <v>671</v>
      </c>
      <c r="M235" s="46" t="s">
        <v>715</v>
      </c>
      <c r="N235" s="2" t="s">
        <v>687</v>
      </c>
    </row>
    <row r="236" spans="3:14" ht="22">
      <c r="C236" s="575" t="s">
        <v>1590</v>
      </c>
      <c r="D236" s="2" t="s">
        <v>714</v>
      </c>
      <c r="H236" s="2">
        <v>1.2999999999999999E-4</v>
      </c>
      <c r="I236" s="2" t="s">
        <v>420</v>
      </c>
      <c r="L236" s="507" t="s">
        <v>671</v>
      </c>
      <c r="M236" s="46" t="s">
        <v>716</v>
      </c>
      <c r="N236" s="2" t="s">
        <v>689</v>
      </c>
    </row>
    <row r="237" spans="3:14" ht="22">
      <c r="C237" s="575" t="s">
        <v>1591</v>
      </c>
      <c r="D237" s="2" t="s">
        <v>714</v>
      </c>
      <c r="H237" s="2">
        <v>6.9999999999999994E-5</v>
      </c>
      <c r="I237" s="2" t="s">
        <v>420</v>
      </c>
      <c r="L237" s="507" t="s">
        <v>671</v>
      </c>
      <c r="M237" s="46" t="s">
        <v>717</v>
      </c>
      <c r="N237" s="2" t="s">
        <v>691</v>
      </c>
    </row>
    <row r="238" spans="3:14" ht="22">
      <c r="C238" s="575" t="s">
        <v>1592</v>
      </c>
      <c r="D238" s="2" t="s">
        <v>718</v>
      </c>
      <c r="H238" s="2">
        <v>1.4999999999999999E-2</v>
      </c>
      <c r="I238" s="2" t="s">
        <v>420</v>
      </c>
      <c r="L238" s="507" t="s">
        <v>671</v>
      </c>
      <c r="M238" s="46" t="s">
        <v>719</v>
      </c>
      <c r="N238" s="2" t="s">
        <v>680</v>
      </c>
    </row>
    <row r="239" spans="3:14" ht="22">
      <c r="C239" s="575" t="s">
        <v>1593</v>
      </c>
      <c r="D239" s="2" t="s">
        <v>718</v>
      </c>
      <c r="H239" s="2">
        <v>1.2E-2</v>
      </c>
      <c r="I239" s="2" t="s">
        <v>420</v>
      </c>
      <c r="L239" s="507" t="s">
        <v>671</v>
      </c>
      <c r="M239" s="46" t="s">
        <v>720</v>
      </c>
      <c r="N239" s="2" t="s">
        <v>682</v>
      </c>
    </row>
    <row r="240" spans="3:14" ht="22">
      <c r="C240" s="575" t="s">
        <v>1594</v>
      </c>
      <c r="D240" s="2" t="s">
        <v>718</v>
      </c>
      <c r="H240" s="2">
        <v>6.6E-3</v>
      </c>
      <c r="I240" s="2" t="s">
        <v>420</v>
      </c>
      <c r="L240" s="507" t="s">
        <v>671</v>
      </c>
      <c r="M240" s="46" t="s">
        <v>721</v>
      </c>
      <c r="N240" s="2" t="s">
        <v>684</v>
      </c>
    </row>
    <row r="241" spans="3:14" ht="22">
      <c r="C241" s="575" t="s">
        <v>1595</v>
      </c>
      <c r="D241" s="2" t="s">
        <v>722</v>
      </c>
      <c r="H241" s="2">
        <v>6.4000000000000001E-2</v>
      </c>
      <c r="I241" s="2" t="s">
        <v>420</v>
      </c>
      <c r="L241" s="507" t="s">
        <v>671</v>
      </c>
      <c r="M241" s="46" t="s">
        <v>723</v>
      </c>
      <c r="N241" s="2" t="s">
        <v>724</v>
      </c>
    </row>
    <row r="242" spans="3:14" ht="22">
      <c r="C242" s="575" t="s">
        <v>1596</v>
      </c>
      <c r="D242" s="2" t="s">
        <v>722</v>
      </c>
      <c r="H242" s="2">
        <v>5.1999999999999998E-2</v>
      </c>
      <c r="I242" s="2" t="s">
        <v>420</v>
      </c>
      <c r="L242" s="507" t="s">
        <v>671</v>
      </c>
      <c r="M242" s="46" t="s">
        <v>725</v>
      </c>
      <c r="N242" s="2" t="s">
        <v>726</v>
      </c>
    </row>
    <row r="243" spans="3:14" ht="22">
      <c r="C243" s="575" t="s">
        <v>1597</v>
      </c>
      <c r="D243" s="2" t="s">
        <v>722</v>
      </c>
      <c r="H243" s="2">
        <v>3.2000000000000001E-2</v>
      </c>
      <c r="I243" s="2" t="s">
        <v>420</v>
      </c>
      <c r="L243" s="507" t="s">
        <v>671</v>
      </c>
      <c r="M243" s="46" t="s">
        <v>727</v>
      </c>
      <c r="N243" s="2" t="s">
        <v>728</v>
      </c>
    </row>
    <row r="244" spans="3:14" ht="22">
      <c r="C244" s="575" t="s">
        <v>1598</v>
      </c>
      <c r="D244" s="2" t="s">
        <v>729</v>
      </c>
      <c r="H244" s="2">
        <v>1E-3</v>
      </c>
      <c r="I244" s="2" t="s">
        <v>420</v>
      </c>
      <c r="L244" s="507" t="s">
        <v>671</v>
      </c>
      <c r="M244" s="46" t="s">
        <v>730</v>
      </c>
      <c r="N244" s="2" t="s">
        <v>673</v>
      </c>
    </row>
    <row r="245" spans="3:14" ht="22">
      <c r="C245" s="575" t="s">
        <v>1599</v>
      </c>
      <c r="D245" s="2" t="s">
        <v>729</v>
      </c>
      <c r="H245" s="2">
        <v>7.9000000000000001E-4</v>
      </c>
      <c r="I245" s="2" t="s">
        <v>420</v>
      </c>
      <c r="L245" s="507" t="s">
        <v>671</v>
      </c>
      <c r="M245" s="46" t="s">
        <v>731</v>
      </c>
      <c r="N245" s="2" t="s">
        <v>675</v>
      </c>
    </row>
    <row r="246" spans="3:14" ht="22">
      <c r="C246" s="575" t="s">
        <v>1600</v>
      </c>
      <c r="D246" s="2" t="s">
        <v>729</v>
      </c>
      <c r="H246" s="2">
        <v>4.2999999999999999E-4</v>
      </c>
      <c r="I246" s="2" t="s">
        <v>420</v>
      </c>
      <c r="L246" s="507" t="s">
        <v>671</v>
      </c>
      <c r="M246" s="46" t="s">
        <v>732</v>
      </c>
      <c r="N246" s="2" t="s">
        <v>677</v>
      </c>
    </row>
    <row r="247" spans="3:14" ht="22">
      <c r="C247" s="575" t="s">
        <v>1601</v>
      </c>
      <c r="D247" s="2" t="s">
        <v>733</v>
      </c>
      <c r="H247" s="2">
        <v>5.0000000000000001E-3</v>
      </c>
      <c r="I247" s="2" t="s">
        <v>420</v>
      </c>
      <c r="L247" s="507" t="s">
        <v>671</v>
      </c>
      <c r="M247" s="46" t="s">
        <v>734</v>
      </c>
      <c r="N247" s="2" t="s">
        <v>673</v>
      </c>
    </row>
    <row r="248" spans="3:14" ht="22">
      <c r="C248" s="2" t="s">
        <v>735</v>
      </c>
      <c r="D248" s="2" t="s">
        <v>733</v>
      </c>
      <c r="H248" s="2">
        <v>4.0000000000000001E-3</v>
      </c>
      <c r="I248" s="2" t="s">
        <v>420</v>
      </c>
      <c r="L248" s="507" t="s">
        <v>671</v>
      </c>
      <c r="M248" s="46" t="s">
        <v>736</v>
      </c>
      <c r="N248" s="2" t="s">
        <v>675</v>
      </c>
    </row>
    <row r="249" spans="3:14" ht="22">
      <c r="C249" s="575" t="s">
        <v>1602</v>
      </c>
      <c r="D249" s="2" t="s">
        <v>733</v>
      </c>
      <c r="H249" s="2">
        <v>2.0999999999999999E-3</v>
      </c>
      <c r="I249" s="2" t="s">
        <v>420</v>
      </c>
      <c r="L249" s="507" t="s">
        <v>671</v>
      </c>
      <c r="M249" s="46" t="s">
        <v>737</v>
      </c>
      <c r="N249" s="2" t="s">
        <v>677</v>
      </c>
    </row>
    <row r="250" spans="3:14" ht="22">
      <c r="C250" s="575" t="s">
        <v>1603</v>
      </c>
      <c r="D250" s="2" t="s">
        <v>738</v>
      </c>
      <c r="H250" s="2">
        <v>9.7000000000000003E-3</v>
      </c>
      <c r="I250" s="2" t="s">
        <v>420</v>
      </c>
      <c r="L250" s="507" t="s">
        <v>671</v>
      </c>
      <c r="M250" s="46" t="s">
        <v>739</v>
      </c>
      <c r="N250" s="2" t="s">
        <v>694</v>
      </c>
    </row>
    <row r="251" spans="3:14" ht="22">
      <c r="C251" s="575" t="s">
        <v>1604</v>
      </c>
      <c r="D251" s="2" t="s">
        <v>738</v>
      </c>
      <c r="H251" s="2">
        <v>7.6E-3</v>
      </c>
      <c r="I251" s="2" t="s">
        <v>420</v>
      </c>
      <c r="L251" s="507" t="s">
        <v>671</v>
      </c>
      <c r="M251" s="46" t="s">
        <v>740</v>
      </c>
      <c r="N251" s="2" t="s">
        <v>696</v>
      </c>
    </row>
    <row r="252" spans="3:14" ht="22">
      <c r="C252" s="575" t="s">
        <v>1605</v>
      </c>
      <c r="D252" s="2" t="s">
        <v>738</v>
      </c>
      <c r="H252" s="2">
        <v>4.1000000000000003E-3</v>
      </c>
      <c r="I252" s="2" t="s">
        <v>420</v>
      </c>
      <c r="L252" s="507" t="s">
        <v>671</v>
      </c>
      <c r="M252" s="46" t="s">
        <v>741</v>
      </c>
      <c r="N252" s="2" t="s">
        <v>698</v>
      </c>
    </row>
    <row r="253" spans="3:14" ht="22">
      <c r="C253" s="575" t="s">
        <v>1606</v>
      </c>
      <c r="D253" s="2" t="s">
        <v>742</v>
      </c>
      <c r="H253" s="2">
        <v>0.01</v>
      </c>
      <c r="I253" s="2" t="s">
        <v>420</v>
      </c>
      <c r="L253" s="507" t="s">
        <v>671</v>
      </c>
      <c r="M253" s="46" t="s">
        <v>743</v>
      </c>
      <c r="N253" s="2" t="s">
        <v>694</v>
      </c>
    </row>
    <row r="254" spans="3:14" ht="22">
      <c r="C254" s="575" t="s">
        <v>1607</v>
      </c>
      <c r="D254" s="2" t="s">
        <v>742</v>
      </c>
      <c r="H254" s="2">
        <v>8.0999999999999996E-3</v>
      </c>
      <c r="I254" s="2" t="s">
        <v>420</v>
      </c>
      <c r="L254" s="507" t="s">
        <v>671</v>
      </c>
      <c r="M254" s="46" t="s">
        <v>744</v>
      </c>
      <c r="N254" s="2" t="s">
        <v>696</v>
      </c>
    </row>
    <row r="255" spans="3:14" ht="22">
      <c r="C255" s="575" t="s">
        <v>1608</v>
      </c>
      <c r="D255" s="2" t="s">
        <v>742</v>
      </c>
      <c r="H255" s="2">
        <v>4.4000000000000003E-3</v>
      </c>
      <c r="I255" s="2" t="s">
        <v>420</v>
      </c>
      <c r="L255" s="507" t="s">
        <v>671</v>
      </c>
      <c r="M255" s="46" t="s">
        <v>745</v>
      </c>
      <c r="N255" s="2" t="s">
        <v>698</v>
      </c>
    </row>
    <row r="256" spans="3:14" ht="22">
      <c r="C256" s="575" t="s">
        <v>1609</v>
      </c>
      <c r="D256" s="2" t="s">
        <v>746</v>
      </c>
      <c r="H256" s="2">
        <v>2.0999999999999999E-3</v>
      </c>
      <c r="I256" s="2" t="s">
        <v>420</v>
      </c>
      <c r="L256" s="507" t="s">
        <v>671</v>
      </c>
      <c r="M256" s="46" t="s">
        <v>747</v>
      </c>
      <c r="N256" s="2" t="s">
        <v>673</v>
      </c>
    </row>
    <row r="257" spans="3:14" ht="22">
      <c r="C257" s="575" t="s">
        <v>1610</v>
      </c>
      <c r="D257" s="2" t="s">
        <v>746</v>
      </c>
      <c r="H257" s="2">
        <v>1.6999999999999999E-3</v>
      </c>
      <c r="I257" s="2" t="s">
        <v>420</v>
      </c>
      <c r="L257" s="507" t="s">
        <v>671</v>
      </c>
      <c r="M257" s="46" t="s">
        <v>748</v>
      </c>
      <c r="N257" s="2" t="s">
        <v>675</v>
      </c>
    </row>
    <row r="258" spans="3:14" ht="22">
      <c r="C258" s="575" t="s">
        <v>1611</v>
      </c>
      <c r="D258" s="2" t="s">
        <v>746</v>
      </c>
      <c r="H258" s="2">
        <v>9.1E-4</v>
      </c>
      <c r="I258" s="2" t="s">
        <v>420</v>
      </c>
      <c r="L258" s="507" t="s">
        <v>671</v>
      </c>
      <c r="M258" s="46" t="s">
        <v>749</v>
      </c>
      <c r="N258" s="2" t="s">
        <v>677</v>
      </c>
    </row>
    <row r="259" spans="3:14" ht="22">
      <c r="C259" s="575" t="s">
        <v>1612</v>
      </c>
      <c r="D259" s="2" t="s">
        <v>750</v>
      </c>
      <c r="H259" s="2">
        <v>2.2000000000000001E-3</v>
      </c>
      <c r="I259" s="2" t="s">
        <v>420</v>
      </c>
      <c r="L259" s="507" t="s">
        <v>671</v>
      </c>
      <c r="M259" s="46" t="s">
        <v>751</v>
      </c>
      <c r="N259" s="2" t="s">
        <v>687</v>
      </c>
    </row>
    <row r="260" spans="3:14" ht="22">
      <c r="C260" s="575" t="s">
        <v>1613</v>
      </c>
      <c r="D260" s="2" t="s">
        <v>750</v>
      </c>
      <c r="H260" s="2">
        <v>1.8E-3</v>
      </c>
      <c r="I260" s="2" t="s">
        <v>420</v>
      </c>
      <c r="L260" s="507" t="s">
        <v>671</v>
      </c>
      <c r="M260" s="46" t="s">
        <v>752</v>
      </c>
      <c r="N260" s="2" t="s">
        <v>689</v>
      </c>
    </row>
    <row r="261" spans="3:14" ht="22">
      <c r="C261" s="575" t="s">
        <v>1614</v>
      </c>
      <c r="D261" s="2" t="s">
        <v>750</v>
      </c>
      <c r="H261" s="2">
        <v>9.6000000000000002E-4</v>
      </c>
      <c r="I261" s="2" t="s">
        <v>420</v>
      </c>
      <c r="L261" s="507" t="s">
        <v>671</v>
      </c>
      <c r="M261" s="46" t="s">
        <v>753</v>
      </c>
      <c r="N261" s="2" t="s">
        <v>691</v>
      </c>
    </row>
    <row r="262" spans="3:14" ht="22">
      <c r="C262" s="575" t="s">
        <v>1615</v>
      </c>
      <c r="D262" s="2" t="s">
        <v>754</v>
      </c>
      <c r="H262" s="2">
        <v>1.6999999999999999E-3</v>
      </c>
      <c r="I262" s="2" t="s">
        <v>420</v>
      </c>
      <c r="L262" s="507" t="s">
        <v>671</v>
      </c>
      <c r="M262" s="46" t="s">
        <v>755</v>
      </c>
      <c r="N262" s="2" t="s">
        <v>694</v>
      </c>
    </row>
    <row r="263" spans="3:14" ht="22">
      <c r="C263" s="575" t="s">
        <v>1616</v>
      </c>
      <c r="D263" s="2" t="s">
        <v>754</v>
      </c>
      <c r="H263" s="2">
        <v>1.2999999999999999E-3</v>
      </c>
      <c r="I263" s="2" t="s">
        <v>420</v>
      </c>
      <c r="L263" s="507" t="s">
        <v>671</v>
      </c>
      <c r="M263" s="46" t="s">
        <v>756</v>
      </c>
      <c r="N263" s="2" t="s">
        <v>696</v>
      </c>
    </row>
    <row r="264" spans="3:14" ht="22">
      <c r="C264" s="575" t="s">
        <v>1617</v>
      </c>
      <c r="D264" s="2" t="s">
        <v>754</v>
      </c>
      <c r="H264" s="2">
        <v>7.2000000000000005E-4</v>
      </c>
      <c r="I264" s="2" t="s">
        <v>420</v>
      </c>
      <c r="L264" s="507" t="s">
        <v>671</v>
      </c>
      <c r="M264" s="46" t="s">
        <v>757</v>
      </c>
      <c r="N264" s="2" t="s">
        <v>698</v>
      </c>
    </row>
    <row r="265" spans="3:14" ht="22">
      <c r="C265" s="575" t="s">
        <v>1618</v>
      </c>
      <c r="D265" s="2" t="s">
        <v>758</v>
      </c>
      <c r="H265" s="2">
        <v>1.6999999999999999E-3</v>
      </c>
      <c r="I265" s="2" t="s">
        <v>420</v>
      </c>
      <c r="L265" s="507" t="s">
        <v>671</v>
      </c>
      <c r="M265" s="46" t="s">
        <v>759</v>
      </c>
      <c r="N265" s="2" t="s">
        <v>673</v>
      </c>
    </row>
    <row r="266" spans="3:14" ht="22">
      <c r="C266" s="575" t="s">
        <v>1619</v>
      </c>
      <c r="D266" s="2" t="s">
        <v>758</v>
      </c>
      <c r="H266" s="2">
        <v>1.2999999999999999E-3</v>
      </c>
      <c r="I266" s="2" t="s">
        <v>420</v>
      </c>
      <c r="L266" s="507" t="s">
        <v>671</v>
      </c>
      <c r="M266" s="46" t="s">
        <v>760</v>
      </c>
      <c r="N266" s="2" t="s">
        <v>675</v>
      </c>
    </row>
    <row r="267" spans="3:14" ht="22">
      <c r="C267" s="575" t="s">
        <v>1620</v>
      </c>
      <c r="D267" s="2" t="s">
        <v>758</v>
      </c>
      <c r="H267" s="2">
        <v>7.2000000000000005E-4</v>
      </c>
      <c r="I267" s="2" t="s">
        <v>420</v>
      </c>
      <c r="L267" s="507" t="s">
        <v>671</v>
      </c>
      <c r="M267" s="46" t="s">
        <v>761</v>
      </c>
      <c r="N267" s="2" t="s">
        <v>677</v>
      </c>
    </row>
    <row r="268" spans="3:14" ht="22">
      <c r="C268" s="575" t="s">
        <v>1621</v>
      </c>
      <c r="D268" s="2" t="s">
        <v>762</v>
      </c>
      <c r="H268" s="2">
        <v>4.2999999999999999E-4</v>
      </c>
      <c r="I268" s="2" t="s">
        <v>420</v>
      </c>
      <c r="L268" s="507" t="s">
        <v>671</v>
      </c>
      <c r="M268" s="46" t="s">
        <v>763</v>
      </c>
      <c r="N268" s="2" t="s">
        <v>680</v>
      </c>
    </row>
    <row r="269" spans="3:14" ht="22">
      <c r="C269" s="575" t="s">
        <v>1622</v>
      </c>
      <c r="D269" s="2" t="s">
        <v>762</v>
      </c>
      <c r="H269" s="2">
        <v>3.4000000000000002E-4</v>
      </c>
      <c r="I269" s="2" t="s">
        <v>420</v>
      </c>
      <c r="L269" s="507" t="s">
        <v>671</v>
      </c>
      <c r="M269" s="46" t="s">
        <v>764</v>
      </c>
      <c r="N269" s="2" t="s">
        <v>682</v>
      </c>
    </row>
    <row r="270" spans="3:14" ht="22">
      <c r="C270" s="575" t="s">
        <v>1623</v>
      </c>
      <c r="D270" s="2" t="s">
        <v>762</v>
      </c>
      <c r="H270" s="2">
        <v>1.9000000000000001E-4</v>
      </c>
      <c r="I270" s="2" t="s">
        <v>420</v>
      </c>
      <c r="L270" s="507" t="s">
        <v>671</v>
      </c>
      <c r="M270" s="46" t="s">
        <v>765</v>
      </c>
      <c r="N270" s="2" t="s">
        <v>684</v>
      </c>
    </row>
    <row r="271" spans="3:14" ht="22">
      <c r="C271" s="575" t="s">
        <v>1624</v>
      </c>
      <c r="D271" s="2" t="s">
        <v>766</v>
      </c>
      <c r="H271" s="2">
        <v>5.0000000000000002E-5</v>
      </c>
      <c r="I271" s="2" t="s">
        <v>420</v>
      </c>
      <c r="L271" s="507" t="s">
        <v>671</v>
      </c>
      <c r="M271" s="46" t="s">
        <v>767</v>
      </c>
      <c r="N271" s="2" t="s">
        <v>673</v>
      </c>
    </row>
    <row r="272" spans="3:14" ht="22">
      <c r="C272" s="575" t="s">
        <v>1625</v>
      </c>
      <c r="D272" s="2" t="s">
        <v>766</v>
      </c>
      <c r="H272" s="2">
        <v>3.8000000000000002E-5</v>
      </c>
      <c r="I272" s="2" t="s">
        <v>420</v>
      </c>
      <c r="L272" s="507" t="s">
        <v>671</v>
      </c>
      <c r="M272" s="46" t="s">
        <v>768</v>
      </c>
      <c r="N272" s="2" t="s">
        <v>675</v>
      </c>
    </row>
    <row r="273" spans="3:14" ht="22">
      <c r="C273" s="575" t="s">
        <v>1626</v>
      </c>
      <c r="D273" s="2" t="s">
        <v>766</v>
      </c>
      <c r="H273" s="2">
        <v>2.0999999999999999E-5</v>
      </c>
      <c r="I273" s="2" t="s">
        <v>420</v>
      </c>
      <c r="L273" s="507" t="s">
        <v>671</v>
      </c>
      <c r="M273" s="46" t="s">
        <v>769</v>
      </c>
      <c r="N273" s="2" t="s">
        <v>677</v>
      </c>
    </row>
    <row r="274" spans="3:14" ht="22">
      <c r="C274" s="575" t="s">
        <v>1627</v>
      </c>
      <c r="D274" s="2" t="s">
        <v>770</v>
      </c>
      <c r="H274" s="2">
        <v>8.0000000000000007E-5</v>
      </c>
      <c r="I274" s="2" t="s">
        <v>420</v>
      </c>
      <c r="L274" s="507" t="s">
        <v>671</v>
      </c>
      <c r="M274" s="46" t="s">
        <v>771</v>
      </c>
      <c r="N274" s="2" t="s">
        <v>694</v>
      </c>
    </row>
    <row r="275" spans="3:14" ht="22">
      <c r="C275" s="575" t="s">
        <v>1628</v>
      </c>
      <c r="D275" s="2" t="s">
        <v>770</v>
      </c>
      <c r="H275" s="2">
        <v>6.9999999999999994E-5</v>
      </c>
      <c r="I275" s="2" t="s">
        <v>420</v>
      </c>
      <c r="L275" s="507" t="s">
        <v>671</v>
      </c>
      <c r="M275" s="46" t="s">
        <v>772</v>
      </c>
      <c r="N275" s="2" t="s">
        <v>696</v>
      </c>
    </row>
    <row r="276" spans="3:14" ht="22">
      <c r="C276" s="575" t="s">
        <v>1629</v>
      </c>
      <c r="D276" s="2" t="s">
        <v>770</v>
      </c>
      <c r="H276" s="2">
        <v>3.6000000000000001E-5</v>
      </c>
      <c r="I276" s="2" t="s">
        <v>420</v>
      </c>
      <c r="L276" s="507" t="s">
        <v>671</v>
      </c>
      <c r="M276" s="46" t="s">
        <v>773</v>
      </c>
      <c r="N276" s="2" t="s">
        <v>698</v>
      </c>
    </row>
    <row r="277" spans="3:14" ht="22">
      <c r="C277" s="575" t="s">
        <v>1630</v>
      </c>
      <c r="D277" s="2" t="s">
        <v>774</v>
      </c>
      <c r="H277" s="2">
        <v>2.3E-2</v>
      </c>
      <c r="I277" s="2" t="s">
        <v>420</v>
      </c>
      <c r="L277" s="507" t="s">
        <v>671</v>
      </c>
      <c r="M277" s="46" t="s">
        <v>775</v>
      </c>
      <c r="N277" s="2" t="s">
        <v>687</v>
      </c>
    </row>
    <row r="278" spans="3:14" ht="22">
      <c r="C278" s="575" t="s">
        <v>1631</v>
      </c>
      <c r="D278" s="2" t="s">
        <v>774</v>
      </c>
      <c r="H278" s="2">
        <v>1.7999999999999999E-2</v>
      </c>
      <c r="I278" s="2" t="s">
        <v>420</v>
      </c>
      <c r="L278" s="507" t="s">
        <v>671</v>
      </c>
      <c r="M278" s="46" t="s">
        <v>776</v>
      </c>
      <c r="N278" s="2" t="s">
        <v>689</v>
      </c>
    </row>
    <row r="279" spans="3:14" ht="22">
      <c r="C279" s="575" t="s">
        <v>1632</v>
      </c>
      <c r="D279" s="2" t="s">
        <v>774</v>
      </c>
      <c r="H279" s="2">
        <v>9.7999999999999997E-3</v>
      </c>
      <c r="I279" s="2" t="s">
        <v>420</v>
      </c>
      <c r="L279" s="507" t="s">
        <v>671</v>
      </c>
      <c r="M279" s="46" t="s">
        <v>777</v>
      </c>
      <c r="N279" s="2" t="s">
        <v>691</v>
      </c>
    </row>
    <row r="280" spans="3:14" ht="22">
      <c r="C280" s="575" t="s">
        <v>1633</v>
      </c>
      <c r="D280" s="2" t="s">
        <v>778</v>
      </c>
      <c r="H280" s="2">
        <v>5.1000000000000004E-4</v>
      </c>
      <c r="I280" s="2" t="s">
        <v>420</v>
      </c>
      <c r="L280" s="507" t="s">
        <v>671</v>
      </c>
      <c r="M280" s="46" t="s">
        <v>779</v>
      </c>
      <c r="N280" s="2" t="s">
        <v>701</v>
      </c>
    </row>
    <row r="281" spans="3:14" ht="22">
      <c r="C281" s="575" t="s">
        <v>1634</v>
      </c>
      <c r="D281" s="2" t="s">
        <v>778</v>
      </c>
      <c r="H281" s="2">
        <v>4.0000000000000002E-4</v>
      </c>
      <c r="I281" s="2" t="s">
        <v>420</v>
      </c>
      <c r="L281" s="507" t="s">
        <v>671</v>
      </c>
      <c r="M281" s="46" t="s">
        <v>780</v>
      </c>
      <c r="N281" s="2" t="s">
        <v>703</v>
      </c>
    </row>
    <row r="282" spans="3:14" ht="22">
      <c r="C282" s="575" t="s">
        <v>1635</v>
      </c>
      <c r="D282" s="2" t="s">
        <v>778</v>
      </c>
      <c r="H282" s="2">
        <v>2.2000000000000001E-4</v>
      </c>
      <c r="I282" s="2" t="s">
        <v>420</v>
      </c>
      <c r="L282" s="507" t="s">
        <v>671</v>
      </c>
      <c r="M282" s="46" t="s">
        <v>781</v>
      </c>
      <c r="N282" s="2" t="s">
        <v>705</v>
      </c>
    </row>
    <row r="283" spans="3:14" ht="22">
      <c r="C283" s="575" t="s">
        <v>1636</v>
      </c>
      <c r="D283" s="2" t="s">
        <v>782</v>
      </c>
      <c r="H283" s="2">
        <v>2.3E-3</v>
      </c>
      <c r="I283" s="2" t="s">
        <v>420</v>
      </c>
      <c r="L283" s="507" t="s">
        <v>671</v>
      </c>
      <c r="M283" s="46" t="s">
        <v>783</v>
      </c>
      <c r="N283" s="2" t="s">
        <v>673</v>
      </c>
    </row>
    <row r="284" spans="3:14" ht="22">
      <c r="C284" s="575" t="s">
        <v>1637</v>
      </c>
      <c r="D284" s="2" t="s">
        <v>782</v>
      </c>
      <c r="H284" s="2">
        <v>1.8E-3</v>
      </c>
      <c r="I284" s="2" t="s">
        <v>420</v>
      </c>
      <c r="L284" s="507" t="s">
        <v>671</v>
      </c>
      <c r="M284" s="46" t="s">
        <v>784</v>
      </c>
      <c r="N284" s="2" t="s">
        <v>675</v>
      </c>
    </row>
    <row r="285" spans="3:14" ht="22">
      <c r="C285" s="575" t="s">
        <v>1638</v>
      </c>
      <c r="D285" s="2" t="s">
        <v>782</v>
      </c>
      <c r="H285" s="2">
        <v>1E-3</v>
      </c>
      <c r="I285" s="2" t="s">
        <v>420</v>
      </c>
      <c r="L285" s="507" t="s">
        <v>671</v>
      </c>
      <c r="M285" s="46" t="s">
        <v>785</v>
      </c>
      <c r="N285" s="2" t="s">
        <v>677</v>
      </c>
    </row>
    <row r="286" spans="3:14" ht="22">
      <c r="C286" s="575" t="s">
        <v>1639</v>
      </c>
      <c r="D286" s="2" t="s">
        <v>786</v>
      </c>
      <c r="H286" s="2">
        <v>6.1999999999999998E-3</v>
      </c>
      <c r="I286" s="2" t="s">
        <v>420</v>
      </c>
      <c r="L286" s="507" t="s">
        <v>671</v>
      </c>
      <c r="M286" s="46" t="s">
        <v>787</v>
      </c>
      <c r="N286" s="2" t="s">
        <v>687</v>
      </c>
    </row>
    <row r="287" spans="3:14" ht="22">
      <c r="C287" s="575" t="s">
        <v>1640</v>
      </c>
      <c r="D287" s="507" t="s">
        <v>786</v>
      </c>
      <c r="H287" s="2">
        <v>5.7000000000000002E-3</v>
      </c>
      <c r="I287" s="2" t="s">
        <v>420</v>
      </c>
      <c r="L287" s="507" t="s">
        <v>671</v>
      </c>
      <c r="M287" s="46" t="s">
        <v>788</v>
      </c>
      <c r="N287" s="2" t="s">
        <v>689</v>
      </c>
    </row>
    <row r="288" spans="3:14" ht="22">
      <c r="C288" s="575" t="s">
        <v>1641</v>
      </c>
      <c r="D288" s="2" t="s">
        <v>786</v>
      </c>
      <c r="H288" s="2">
        <v>4.8999999999999998E-3</v>
      </c>
      <c r="I288" s="2" t="s">
        <v>420</v>
      </c>
      <c r="L288" s="507" t="s">
        <v>671</v>
      </c>
      <c r="M288" s="46" t="s">
        <v>789</v>
      </c>
      <c r="N288" s="2" t="s">
        <v>691</v>
      </c>
    </row>
    <row r="289" spans="3:14" ht="22">
      <c r="C289" s="575" t="s">
        <v>1642</v>
      </c>
      <c r="D289" s="2" t="s">
        <v>790</v>
      </c>
      <c r="H289" s="2">
        <v>4.5999999999999999E-3</v>
      </c>
      <c r="I289" s="2" t="s">
        <v>420</v>
      </c>
      <c r="L289" s="507" t="s">
        <v>671</v>
      </c>
      <c r="M289" s="46" t="s">
        <v>791</v>
      </c>
      <c r="N289" s="2" t="s">
        <v>673</v>
      </c>
    </row>
    <row r="290" spans="3:14" ht="22">
      <c r="C290" s="575" t="s">
        <v>1643</v>
      </c>
      <c r="D290" s="2" t="s">
        <v>790</v>
      </c>
      <c r="H290" s="2">
        <v>3.7000000000000002E-3</v>
      </c>
      <c r="I290" s="2" t="s">
        <v>420</v>
      </c>
      <c r="L290" s="507" t="s">
        <v>671</v>
      </c>
      <c r="M290" s="46" t="s">
        <v>792</v>
      </c>
      <c r="N290" s="2" t="s">
        <v>675</v>
      </c>
    </row>
    <row r="291" spans="3:14" ht="22">
      <c r="C291" s="575" t="s">
        <v>1644</v>
      </c>
      <c r="D291" s="2" t="s">
        <v>790</v>
      </c>
      <c r="H291" s="2">
        <v>2E-3</v>
      </c>
      <c r="I291" s="2" t="s">
        <v>420</v>
      </c>
      <c r="L291" s="507" t="s">
        <v>671</v>
      </c>
      <c r="M291" s="46" t="s">
        <v>793</v>
      </c>
      <c r="N291" s="2" t="s">
        <v>677</v>
      </c>
    </row>
    <row r="292" spans="3:14" ht="43">
      <c r="C292" s="2" t="s">
        <v>825</v>
      </c>
      <c r="D292" s="2" t="s">
        <v>825</v>
      </c>
      <c r="E292" s="4"/>
      <c r="F292" s="4"/>
      <c r="G292" s="4"/>
      <c r="H292" s="4">
        <v>0.98</v>
      </c>
      <c r="I292" s="2" t="s">
        <v>420</v>
      </c>
      <c r="J292" s="4">
        <v>5.63</v>
      </c>
      <c r="K292" s="2" t="s">
        <v>421</v>
      </c>
      <c r="L292" s="2" t="s">
        <v>247</v>
      </c>
      <c r="M292" s="45" t="s">
        <v>826</v>
      </c>
    </row>
    <row r="293" spans="3:14" ht="32.5">
      <c r="C293" s="2" t="s">
        <v>827</v>
      </c>
      <c r="D293" s="2" t="s">
        <v>828</v>
      </c>
      <c r="E293" s="4"/>
      <c r="F293" s="4"/>
      <c r="G293" s="4"/>
      <c r="H293" s="5">
        <v>4.0000000000000001E-3</v>
      </c>
      <c r="I293" s="2" t="s">
        <v>420</v>
      </c>
      <c r="J293" s="4">
        <v>1</v>
      </c>
      <c r="K293" s="2" t="s">
        <v>421</v>
      </c>
      <c r="L293" s="2" t="s">
        <v>247</v>
      </c>
      <c r="M293" s="45" t="s">
        <v>433</v>
      </c>
    </row>
    <row r="294" spans="3:14" ht="32.5">
      <c r="C294" s="507" t="s">
        <v>829</v>
      </c>
      <c r="D294" s="2" t="s">
        <v>830</v>
      </c>
      <c r="E294" s="4"/>
      <c r="F294" s="4"/>
      <c r="G294" s="4"/>
      <c r="H294" s="5">
        <v>3.7000000000000002E-3</v>
      </c>
      <c r="I294" s="2" t="s">
        <v>420</v>
      </c>
      <c r="J294" s="4">
        <v>0.10299999999999999</v>
      </c>
      <c r="K294" s="2" t="s">
        <v>421</v>
      </c>
      <c r="L294" s="2" t="s">
        <v>247</v>
      </c>
      <c r="M294" s="45" t="s">
        <v>831</v>
      </c>
    </row>
    <row r="295" spans="3:14" ht="22">
      <c r="C295" s="507" t="s">
        <v>834</v>
      </c>
      <c r="D295" s="2" t="s">
        <v>834</v>
      </c>
      <c r="H295" s="4">
        <v>363</v>
      </c>
      <c r="I295" s="2" t="s">
        <v>420</v>
      </c>
      <c r="L295" s="2" t="s">
        <v>505</v>
      </c>
      <c r="M295" s="46" t="s">
        <v>506</v>
      </c>
    </row>
    <row r="296" spans="3:14">
      <c r="C296" s="2" t="s">
        <v>835</v>
      </c>
      <c r="D296" s="2" t="s">
        <v>836</v>
      </c>
      <c r="E296" s="4"/>
      <c r="F296" s="4"/>
      <c r="G296" s="4"/>
      <c r="H296" s="4">
        <v>1.73</v>
      </c>
      <c r="I296" s="2" t="s">
        <v>420</v>
      </c>
      <c r="J296" s="4"/>
      <c r="L296" s="2" t="s">
        <v>247</v>
      </c>
      <c r="M296" s="45" t="s">
        <v>837</v>
      </c>
    </row>
    <row r="297" spans="3:14">
      <c r="C297" s="2" t="s">
        <v>838</v>
      </c>
      <c r="D297" s="2" t="s">
        <v>838</v>
      </c>
      <c r="E297" s="4"/>
      <c r="F297" s="4"/>
      <c r="G297" s="4"/>
      <c r="H297" s="4">
        <v>1.98</v>
      </c>
      <c r="I297" s="2" t="s">
        <v>420</v>
      </c>
      <c r="J297" s="4">
        <v>26.1</v>
      </c>
      <c r="K297" s="2" t="s">
        <v>421</v>
      </c>
      <c r="L297" s="2" t="s">
        <v>247</v>
      </c>
      <c r="M297" s="45" t="s">
        <v>839</v>
      </c>
    </row>
    <row r="298" spans="3:14">
      <c r="C298" s="47" t="s">
        <v>838</v>
      </c>
      <c r="D298" s="47" t="s">
        <v>838</v>
      </c>
      <c r="E298" s="107">
        <v>4.5199999999999996</v>
      </c>
      <c r="F298" s="107"/>
      <c r="G298" s="107"/>
      <c r="H298" s="107">
        <v>4.87</v>
      </c>
      <c r="I298" s="2" t="s">
        <v>420</v>
      </c>
      <c r="J298" s="107"/>
      <c r="K298" s="47"/>
      <c r="L298" s="47" t="s">
        <v>247</v>
      </c>
      <c r="M298" s="104" t="s">
        <v>840</v>
      </c>
    </row>
    <row r="299" spans="3:14" ht="22">
      <c r="C299" s="2" t="s">
        <v>841</v>
      </c>
      <c r="D299" s="2" t="s">
        <v>842</v>
      </c>
      <c r="E299" s="4"/>
      <c r="F299" s="4"/>
      <c r="G299" s="4"/>
      <c r="H299" s="4">
        <v>0.33</v>
      </c>
      <c r="I299" s="2" t="s">
        <v>420</v>
      </c>
      <c r="J299" s="4">
        <v>5.12</v>
      </c>
      <c r="K299" s="2" t="s">
        <v>421</v>
      </c>
      <c r="L299" s="2" t="s">
        <v>247</v>
      </c>
      <c r="M299" s="45" t="s">
        <v>843</v>
      </c>
    </row>
    <row r="300" spans="3:14">
      <c r="C300" s="2" t="s">
        <v>844</v>
      </c>
      <c r="D300" s="2" t="s">
        <v>844</v>
      </c>
      <c r="E300" s="4"/>
      <c r="F300" s="4"/>
      <c r="G300" s="4"/>
      <c r="H300" s="4">
        <v>125</v>
      </c>
      <c r="I300" s="2" t="s">
        <v>420</v>
      </c>
      <c r="J300" s="4">
        <v>12747.42</v>
      </c>
      <c r="K300" s="2" t="s">
        <v>421</v>
      </c>
      <c r="L300" s="2" t="s">
        <v>458</v>
      </c>
      <c r="M300" s="45" t="s">
        <v>845</v>
      </c>
    </row>
    <row r="301" spans="3:14">
      <c r="C301" s="2" t="s">
        <v>846</v>
      </c>
      <c r="D301" s="2" t="s">
        <v>847</v>
      </c>
      <c r="E301" s="4"/>
      <c r="F301" s="4"/>
      <c r="G301" s="4"/>
      <c r="H301" s="4">
        <v>145.1</v>
      </c>
      <c r="I301" s="2" t="s">
        <v>420</v>
      </c>
      <c r="J301" s="4"/>
      <c r="L301" s="2" t="s">
        <v>241</v>
      </c>
      <c r="M301" s="48" t="s">
        <v>848</v>
      </c>
    </row>
    <row r="302" spans="3:14">
      <c r="C302" s="592" t="s">
        <v>1321</v>
      </c>
      <c r="D302" s="361" t="s">
        <v>849</v>
      </c>
      <c r="E302" s="361"/>
      <c r="F302" s="361"/>
      <c r="G302" s="361"/>
      <c r="H302" s="546">
        <v>1.71</v>
      </c>
      <c r="I302" s="361" t="s">
        <v>420</v>
      </c>
      <c r="J302" s="361"/>
      <c r="K302" s="361"/>
      <c r="L302" s="361" t="s">
        <v>247</v>
      </c>
      <c r="M302" s="103" t="s">
        <v>475</v>
      </c>
    </row>
    <row r="303" spans="3:14">
      <c r="C303" s="361" t="s">
        <v>1322</v>
      </c>
      <c r="D303" s="361" t="s">
        <v>850</v>
      </c>
      <c r="E303" s="361"/>
      <c r="F303" s="361"/>
      <c r="G303" s="361"/>
      <c r="H303" s="546">
        <v>0.74</v>
      </c>
      <c r="I303" s="361" t="s">
        <v>420</v>
      </c>
      <c r="J303" s="361"/>
      <c r="K303" s="361"/>
      <c r="L303" s="361" t="s">
        <v>247</v>
      </c>
      <c r="M303" s="104" t="s">
        <v>475</v>
      </c>
    </row>
    <row r="304" spans="3:14">
      <c r="C304" s="361" t="s">
        <v>1323</v>
      </c>
      <c r="D304" s="361" t="s">
        <v>851</v>
      </c>
      <c r="E304" s="361"/>
      <c r="F304" s="361"/>
      <c r="G304" s="361"/>
      <c r="H304" s="546">
        <v>0.25</v>
      </c>
      <c r="I304" s="361" t="s">
        <v>420</v>
      </c>
      <c r="J304" s="361"/>
      <c r="K304" s="361"/>
      <c r="L304" s="361" t="s">
        <v>247</v>
      </c>
      <c r="M304" s="103" t="s">
        <v>475</v>
      </c>
    </row>
    <row r="305" spans="3:13">
      <c r="C305" s="361" t="s">
        <v>1324</v>
      </c>
      <c r="D305" s="361" t="s">
        <v>852</v>
      </c>
      <c r="E305" s="361"/>
      <c r="F305" s="361"/>
      <c r="G305" s="361"/>
      <c r="H305" s="4">
        <v>0.2</v>
      </c>
      <c r="I305" s="361" t="s">
        <v>420</v>
      </c>
      <c r="J305" s="361"/>
      <c r="K305" s="361"/>
      <c r="L305" s="361" t="s">
        <v>853</v>
      </c>
      <c r="M305" s="49" t="s">
        <v>854</v>
      </c>
    </row>
    <row r="306" spans="3:13">
      <c r="C306" s="361" t="s">
        <v>1325</v>
      </c>
      <c r="D306" s="361" t="s">
        <v>855</v>
      </c>
      <c r="E306" s="361">
        <v>0.52</v>
      </c>
      <c r="F306" s="361"/>
      <c r="G306" s="361"/>
      <c r="H306" s="4">
        <v>0.52</v>
      </c>
      <c r="I306" s="361" t="s">
        <v>420</v>
      </c>
      <c r="J306" s="361"/>
      <c r="K306" s="361"/>
      <c r="L306" s="361" t="s">
        <v>247</v>
      </c>
      <c r="M306" s="204" t="s">
        <v>856</v>
      </c>
    </row>
    <row r="307" spans="3:13">
      <c r="C307" s="361" t="s">
        <v>1326</v>
      </c>
      <c r="D307" s="361" t="s">
        <v>857</v>
      </c>
      <c r="E307" s="361"/>
      <c r="F307" s="361"/>
      <c r="G307" s="361"/>
      <c r="H307" s="4">
        <v>9.1999999999999993</v>
      </c>
      <c r="I307" s="361" t="s">
        <v>420</v>
      </c>
      <c r="J307" s="361"/>
      <c r="K307" s="361"/>
      <c r="L307" s="361" t="s">
        <v>247</v>
      </c>
      <c r="M307" s="105" t="s">
        <v>475</v>
      </c>
    </row>
    <row r="308" spans="3:13">
      <c r="C308" s="361" t="s">
        <v>1327</v>
      </c>
      <c r="D308" s="361" t="s">
        <v>858</v>
      </c>
      <c r="E308" s="361">
        <v>0.57999999999999996</v>
      </c>
      <c r="F308" s="361"/>
      <c r="G308" s="361"/>
      <c r="H308" s="4">
        <v>0.57999999999999996</v>
      </c>
      <c r="I308" s="361" t="s">
        <v>420</v>
      </c>
      <c r="J308" s="361"/>
      <c r="K308" s="361"/>
      <c r="L308" s="361" t="s">
        <v>859</v>
      </c>
      <c r="M308" s="205" t="s">
        <v>475</v>
      </c>
    </row>
    <row r="309" spans="3:13">
      <c r="C309" s="361" t="s">
        <v>1328</v>
      </c>
      <c r="D309" s="361" t="s">
        <v>860</v>
      </c>
      <c r="E309" s="361">
        <v>0.44</v>
      </c>
      <c r="F309" s="361"/>
      <c r="G309" s="361"/>
      <c r="H309" s="4">
        <v>0.44</v>
      </c>
      <c r="I309" s="361" t="s">
        <v>420</v>
      </c>
      <c r="J309" s="361"/>
      <c r="K309" s="361"/>
      <c r="L309" s="361" t="s">
        <v>247</v>
      </c>
      <c r="M309" s="46" t="s">
        <v>856</v>
      </c>
    </row>
    <row r="310" spans="3:13">
      <c r="C310" s="361" t="s">
        <v>1329</v>
      </c>
      <c r="D310" s="361" t="s">
        <v>861</v>
      </c>
      <c r="E310" s="361">
        <v>2.04</v>
      </c>
      <c r="F310" s="361"/>
      <c r="G310" s="361"/>
      <c r="H310" s="4">
        <v>2.04</v>
      </c>
      <c r="I310" s="361" t="s">
        <v>420</v>
      </c>
      <c r="J310" s="361"/>
      <c r="K310" s="361"/>
      <c r="L310" s="361" t="s">
        <v>247</v>
      </c>
      <c r="M310" s="46" t="s">
        <v>856</v>
      </c>
    </row>
    <row r="311" spans="3:13">
      <c r="C311" s="361" t="s">
        <v>1330</v>
      </c>
      <c r="D311" s="361" t="s">
        <v>862</v>
      </c>
      <c r="E311" s="361"/>
      <c r="F311" s="361"/>
      <c r="G311" s="361"/>
      <c r="H311" s="4">
        <v>0.2</v>
      </c>
      <c r="I311" s="361" t="s">
        <v>420</v>
      </c>
      <c r="J311" s="361"/>
      <c r="K311" s="361"/>
      <c r="L311" s="361" t="s">
        <v>247</v>
      </c>
      <c r="M311" s="103" t="s">
        <v>475</v>
      </c>
    </row>
    <row r="312" spans="3:13">
      <c r="C312" s="361" t="s">
        <v>1331</v>
      </c>
      <c r="D312" s="361" t="s">
        <v>863</v>
      </c>
      <c r="E312" s="361">
        <v>0.28000000000000003</v>
      </c>
      <c r="F312" s="361"/>
      <c r="G312" s="361"/>
      <c r="H312" s="4">
        <v>0.28000000000000003</v>
      </c>
      <c r="I312" s="361" t="s">
        <v>420</v>
      </c>
      <c r="J312" s="361"/>
      <c r="K312" s="361"/>
      <c r="L312" s="361" t="s">
        <v>247</v>
      </c>
      <c r="M312" s="46" t="s">
        <v>856</v>
      </c>
    </row>
    <row r="313" spans="3:13">
      <c r="C313" s="361" t="s">
        <v>1332</v>
      </c>
      <c r="D313" s="361" t="s">
        <v>864</v>
      </c>
      <c r="E313" s="361"/>
      <c r="F313" s="361"/>
      <c r="G313" s="361"/>
      <c r="H313" s="4">
        <v>0.78</v>
      </c>
      <c r="I313" s="361" t="s">
        <v>420</v>
      </c>
      <c r="J313" s="361"/>
      <c r="K313" s="361"/>
      <c r="L313" s="361" t="s">
        <v>247</v>
      </c>
      <c r="M313" s="105" t="s">
        <v>475</v>
      </c>
    </row>
    <row r="314" spans="3:13">
      <c r="C314" s="592" t="s">
        <v>1411</v>
      </c>
      <c r="D314" s="361" t="s">
        <v>474</v>
      </c>
      <c r="E314" s="361"/>
      <c r="F314" s="361"/>
      <c r="G314" s="361"/>
      <c r="H314" s="4">
        <v>2.58</v>
      </c>
      <c r="I314" s="361" t="s">
        <v>420</v>
      </c>
      <c r="J314" s="361"/>
      <c r="K314" s="361"/>
      <c r="L314" s="361" t="s">
        <v>247</v>
      </c>
      <c r="M314" s="105" t="s">
        <v>475</v>
      </c>
    </row>
    <row r="315" spans="3:13">
      <c r="C315" s="592" t="s">
        <v>1412</v>
      </c>
      <c r="D315" s="361" t="s">
        <v>476</v>
      </c>
      <c r="E315" s="361"/>
      <c r="F315" s="361"/>
      <c r="G315" s="361"/>
      <c r="H315" s="4">
        <v>5.59</v>
      </c>
      <c r="I315" s="361" t="s">
        <v>420</v>
      </c>
      <c r="J315" s="361"/>
      <c r="K315" s="361"/>
      <c r="L315" s="361" t="s">
        <v>247</v>
      </c>
      <c r="M315" s="105" t="s">
        <v>475</v>
      </c>
    </row>
    <row r="316" spans="3:13">
      <c r="C316" s="361" t="s">
        <v>1333</v>
      </c>
      <c r="D316" s="361" t="s">
        <v>865</v>
      </c>
      <c r="E316" s="361"/>
      <c r="F316" s="361"/>
      <c r="G316" s="361"/>
      <c r="H316" s="4">
        <v>0.24</v>
      </c>
      <c r="I316" s="361" t="s">
        <v>420</v>
      </c>
      <c r="J316" s="361"/>
      <c r="K316" s="361"/>
      <c r="L316" s="361" t="s">
        <v>247</v>
      </c>
      <c r="M316" s="103" t="s">
        <v>475</v>
      </c>
    </row>
    <row r="317" spans="3:13">
      <c r="C317" s="361" t="s">
        <v>1334</v>
      </c>
      <c r="D317" s="361" t="s">
        <v>866</v>
      </c>
      <c r="E317" s="361">
        <v>6.47</v>
      </c>
      <c r="F317" s="361"/>
      <c r="G317" s="361"/>
      <c r="H317" s="4">
        <v>6.47</v>
      </c>
      <c r="I317" s="361" t="s">
        <v>420</v>
      </c>
      <c r="J317" s="361"/>
      <c r="K317" s="361"/>
      <c r="L317" s="361" t="s">
        <v>247</v>
      </c>
      <c r="M317" s="46" t="s">
        <v>856</v>
      </c>
    </row>
    <row r="318" spans="3:13">
      <c r="C318" s="361" t="s">
        <v>1335</v>
      </c>
      <c r="D318" s="361" t="s">
        <v>867</v>
      </c>
      <c r="E318" s="361">
        <v>0.56999999999999995</v>
      </c>
      <c r="F318" s="361"/>
      <c r="G318" s="361"/>
      <c r="H318" s="4">
        <v>0.56999999999999995</v>
      </c>
      <c r="I318" s="361" t="s">
        <v>420</v>
      </c>
      <c r="J318" s="361"/>
      <c r="K318" s="361"/>
      <c r="L318" s="361" t="s">
        <v>247</v>
      </c>
      <c r="M318" s="46" t="s">
        <v>856</v>
      </c>
    </row>
    <row r="319" spans="3:13">
      <c r="C319" s="361" t="s">
        <v>1336</v>
      </c>
      <c r="D319" s="361" t="s">
        <v>868</v>
      </c>
      <c r="E319" s="361">
        <v>0.25</v>
      </c>
      <c r="F319" s="361"/>
      <c r="G319" s="361"/>
      <c r="H319" s="4">
        <v>0.25</v>
      </c>
      <c r="I319" s="361" t="s">
        <v>420</v>
      </c>
      <c r="J319" s="361"/>
      <c r="K319" s="361"/>
      <c r="L319" s="361" t="s">
        <v>247</v>
      </c>
      <c r="M319" s="46" t="s">
        <v>856</v>
      </c>
    </row>
    <row r="320" spans="3:13">
      <c r="C320" s="361" t="s">
        <v>1337</v>
      </c>
      <c r="D320" s="361" t="s">
        <v>869</v>
      </c>
      <c r="E320" s="361"/>
      <c r="F320" s="361"/>
      <c r="G320" s="361"/>
      <c r="H320" s="4">
        <v>3.2</v>
      </c>
      <c r="I320" s="361" t="s">
        <v>420</v>
      </c>
      <c r="J320" s="361"/>
      <c r="K320" s="361"/>
      <c r="L320" s="361" t="s">
        <v>247</v>
      </c>
      <c r="M320" s="45" t="s">
        <v>870</v>
      </c>
    </row>
    <row r="321" spans="3:13">
      <c r="C321" s="507" t="s">
        <v>1338</v>
      </c>
      <c r="D321" s="2" t="s">
        <v>871</v>
      </c>
      <c r="E321" s="4">
        <v>0.27</v>
      </c>
      <c r="F321" s="4"/>
      <c r="G321" s="4"/>
      <c r="H321" s="4">
        <v>0.27</v>
      </c>
      <c r="I321" s="2" t="s">
        <v>420</v>
      </c>
      <c r="J321" s="4"/>
      <c r="L321" s="2" t="s">
        <v>247</v>
      </c>
      <c r="M321" s="46" t="s">
        <v>856</v>
      </c>
    </row>
    <row r="322" spans="3:13">
      <c r="C322" s="507" t="s">
        <v>1339</v>
      </c>
      <c r="D322" s="2" t="s">
        <v>872</v>
      </c>
      <c r="E322" s="4"/>
      <c r="F322" s="4"/>
      <c r="G322" s="4"/>
      <c r="H322" s="4">
        <v>0.1</v>
      </c>
      <c r="I322" s="2" t="s">
        <v>420</v>
      </c>
      <c r="J322" s="4"/>
      <c r="L322" s="2" t="s">
        <v>247</v>
      </c>
      <c r="M322" s="45" t="s">
        <v>870</v>
      </c>
    </row>
    <row r="323" spans="3:13">
      <c r="C323" s="507" t="s">
        <v>1340</v>
      </c>
      <c r="D323" s="2" t="s">
        <v>873</v>
      </c>
      <c r="E323" s="4"/>
      <c r="F323" s="4"/>
      <c r="G323" s="4"/>
      <c r="H323" s="4">
        <v>3.7</v>
      </c>
      <c r="I323" s="2" t="s">
        <v>420</v>
      </c>
      <c r="J323" s="4"/>
      <c r="L323" s="2" t="s">
        <v>247</v>
      </c>
      <c r="M323" s="105" t="s">
        <v>475</v>
      </c>
    </row>
    <row r="324" spans="3:13">
      <c r="C324" s="507" t="s">
        <v>1341</v>
      </c>
      <c r="D324" s="2" t="s">
        <v>874</v>
      </c>
      <c r="E324" s="4"/>
      <c r="F324" s="4"/>
      <c r="G324" s="4"/>
      <c r="H324" s="4">
        <v>3.92</v>
      </c>
      <c r="I324" s="2" t="s">
        <v>420</v>
      </c>
      <c r="J324" s="4"/>
      <c r="L324" s="2" t="s">
        <v>247</v>
      </c>
      <c r="M324" s="105" t="s">
        <v>475</v>
      </c>
    </row>
    <row r="325" spans="3:13">
      <c r="C325" s="507" t="s">
        <v>1342</v>
      </c>
      <c r="D325" s="2" t="s">
        <v>875</v>
      </c>
      <c r="E325" s="4">
        <v>0.28000000000000003</v>
      </c>
      <c r="F325" s="4"/>
      <c r="G325" s="4"/>
      <c r="H325" s="4">
        <v>0.28000000000000003</v>
      </c>
      <c r="I325" s="2" t="s">
        <v>420</v>
      </c>
      <c r="J325" s="4"/>
      <c r="L325" s="2" t="s">
        <v>247</v>
      </c>
      <c r="M325" s="46" t="s">
        <v>856</v>
      </c>
    </row>
    <row r="326" spans="3:13">
      <c r="C326" s="507" t="s">
        <v>1343</v>
      </c>
      <c r="D326" s="2" t="s">
        <v>876</v>
      </c>
      <c r="E326" s="4"/>
      <c r="F326" s="4"/>
      <c r="G326" s="4"/>
      <c r="H326" s="4">
        <v>0.45</v>
      </c>
      <c r="I326" s="2" t="s">
        <v>420</v>
      </c>
      <c r="J326" s="4"/>
      <c r="L326" s="2" t="s">
        <v>247</v>
      </c>
      <c r="M326" s="103" t="s">
        <v>475</v>
      </c>
    </row>
    <row r="327" spans="3:13">
      <c r="C327" s="507" t="s">
        <v>1344</v>
      </c>
      <c r="D327" s="2" t="s">
        <v>877</v>
      </c>
      <c r="E327" s="4">
        <v>1.38</v>
      </c>
      <c r="F327" s="4"/>
      <c r="G327" s="4"/>
      <c r="H327" s="4">
        <v>1.38</v>
      </c>
      <c r="I327" s="2" t="s">
        <v>420</v>
      </c>
      <c r="J327" s="4"/>
      <c r="L327" s="2" t="s">
        <v>859</v>
      </c>
      <c r="M327" s="105" t="s">
        <v>475</v>
      </c>
    </row>
    <row r="328" spans="3:13">
      <c r="C328" s="507" t="s">
        <v>1345</v>
      </c>
      <c r="D328" s="2" t="s">
        <v>878</v>
      </c>
      <c r="E328" s="4">
        <v>6.29</v>
      </c>
      <c r="F328" s="4"/>
      <c r="G328" s="4"/>
      <c r="H328" s="4">
        <v>6.29</v>
      </c>
      <c r="I328" s="2" t="s">
        <v>420</v>
      </c>
      <c r="J328" s="4"/>
      <c r="L328" s="2" t="s">
        <v>247</v>
      </c>
      <c r="M328" s="103" t="s">
        <v>475</v>
      </c>
    </row>
    <row r="329" spans="3:13">
      <c r="C329" s="507" t="s">
        <v>1346</v>
      </c>
      <c r="D329" s="2" t="s">
        <v>879</v>
      </c>
      <c r="E329" s="4">
        <v>1.92</v>
      </c>
      <c r="F329" s="4"/>
      <c r="G329" s="4"/>
      <c r="H329" s="4">
        <v>1.92</v>
      </c>
      <c r="I329" s="2" t="s">
        <v>420</v>
      </c>
      <c r="J329" s="4"/>
      <c r="L329" s="2" t="s">
        <v>247</v>
      </c>
      <c r="M329" s="103" t="s">
        <v>475</v>
      </c>
    </row>
    <row r="330" spans="3:13">
      <c r="C330" s="507" t="s">
        <v>1347</v>
      </c>
      <c r="D330" s="2" t="s">
        <v>880</v>
      </c>
      <c r="E330" s="4"/>
      <c r="F330" s="4"/>
      <c r="G330" s="4"/>
      <c r="H330" s="4">
        <v>2.37</v>
      </c>
      <c r="I330" s="2" t="s">
        <v>420</v>
      </c>
      <c r="J330" s="4"/>
      <c r="L330" s="2" t="s">
        <v>247</v>
      </c>
      <c r="M330" s="105" t="s">
        <v>475</v>
      </c>
    </row>
    <row r="331" spans="3:13">
      <c r="C331" s="507" t="s">
        <v>1348</v>
      </c>
      <c r="D331" s="2" t="s">
        <v>881</v>
      </c>
      <c r="E331" s="4"/>
      <c r="F331" s="4"/>
      <c r="G331" s="4"/>
      <c r="H331" s="4">
        <v>0.64</v>
      </c>
      <c r="I331" s="2" t="s">
        <v>420</v>
      </c>
      <c r="J331" s="4"/>
      <c r="L331" s="2" t="s">
        <v>853</v>
      </c>
      <c r="M331" s="46" t="s">
        <v>882</v>
      </c>
    </row>
    <row r="332" spans="3:13">
      <c r="C332" s="507" t="s">
        <v>1349</v>
      </c>
      <c r="D332" s="2" t="s">
        <v>883</v>
      </c>
      <c r="E332" s="4"/>
      <c r="F332" s="4"/>
      <c r="G332" s="4"/>
      <c r="H332" s="4">
        <v>0.4</v>
      </c>
      <c r="I332" s="2" t="s">
        <v>420</v>
      </c>
      <c r="J332" s="4"/>
      <c r="L332" s="2" t="s">
        <v>247</v>
      </c>
      <c r="M332" s="105" t="s">
        <v>475</v>
      </c>
    </row>
    <row r="333" spans="3:13">
      <c r="C333" s="507" t="s">
        <v>1350</v>
      </c>
      <c r="D333" s="2" t="s">
        <v>884</v>
      </c>
      <c r="E333" s="4">
        <v>5.82</v>
      </c>
      <c r="F333" s="4"/>
      <c r="G333" s="4"/>
      <c r="H333" s="4">
        <v>5.82</v>
      </c>
      <c r="I333" s="2" t="s">
        <v>420</v>
      </c>
      <c r="J333" s="4"/>
      <c r="L333" s="2" t="s">
        <v>247</v>
      </c>
      <c r="M333" s="46" t="s">
        <v>856</v>
      </c>
    </row>
    <row r="334" spans="3:13">
      <c r="C334" s="507" t="s">
        <v>1351</v>
      </c>
      <c r="D334" s="2" t="s">
        <v>885</v>
      </c>
      <c r="E334" s="4">
        <v>1.25</v>
      </c>
      <c r="F334" s="4"/>
      <c r="G334" s="4"/>
      <c r="H334" s="4">
        <v>1.25</v>
      </c>
      <c r="I334" s="2" t="s">
        <v>420</v>
      </c>
      <c r="J334" s="4"/>
      <c r="L334" s="2" t="s">
        <v>247</v>
      </c>
      <c r="M334" s="103" t="s">
        <v>475</v>
      </c>
    </row>
    <row r="335" spans="3:13">
      <c r="C335" s="507" t="s">
        <v>1352</v>
      </c>
      <c r="D335" s="2" t="s">
        <v>886</v>
      </c>
      <c r="E335" s="4"/>
      <c r="F335" s="4"/>
      <c r="G335" s="4"/>
      <c r="H335" s="4">
        <v>0.66</v>
      </c>
      <c r="I335" s="2" t="s">
        <v>420</v>
      </c>
      <c r="J335" s="4"/>
      <c r="L335" s="2" t="s">
        <v>247</v>
      </c>
      <c r="M335" s="103" t="s">
        <v>475</v>
      </c>
    </row>
    <row r="336" spans="3:13">
      <c r="C336" s="507" t="s">
        <v>1353</v>
      </c>
      <c r="D336" s="2" t="s">
        <v>887</v>
      </c>
      <c r="E336" s="4">
        <v>0.3</v>
      </c>
      <c r="F336" s="4"/>
      <c r="G336" s="4"/>
      <c r="H336" s="4">
        <v>0.3</v>
      </c>
      <c r="I336" s="2" t="s">
        <v>420</v>
      </c>
      <c r="J336" s="4"/>
      <c r="L336" s="2" t="s">
        <v>247</v>
      </c>
      <c r="M336" s="105" t="s">
        <v>888</v>
      </c>
    </row>
    <row r="337" spans="3:13">
      <c r="C337" s="507" t="s">
        <v>1354</v>
      </c>
      <c r="D337" s="2" t="s">
        <v>889</v>
      </c>
      <c r="E337" s="4"/>
      <c r="F337" s="4"/>
      <c r="G337" s="4"/>
      <c r="H337" s="4">
        <v>0.43</v>
      </c>
      <c r="I337" s="2" t="s">
        <v>420</v>
      </c>
      <c r="J337" s="4"/>
      <c r="L337" s="2" t="s">
        <v>247</v>
      </c>
      <c r="M337" s="103" t="s">
        <v>475</v>
      </c>
    </row>
    <row r="338" spans="3:13">
      <c r="C338" s="507" t="s">
        <v>1355</v>
      </c>
      <c r="D338" s="2" t="s">
        <v>890</v>
      </c>
      <c r="E338" s="4">
        <v>0.54</v>
      </c>
      <c r="F338" s="4"/>
      <c r="G338" s="4"/>
      <c r="H338" s="4">
        <v>0.54</v>
      </c>
      <c r="I338" s="2" t="s">
        <v>420</v>
      </c>
      <c r="J338" s="4"/>
      <c r="L338" s="2" t="s">
        <v>859</v>
      </c>
      <c r="M338" s="105" t="s">
        <v>475</v>
      </c>
    </row>
    <row r="339" spans="3:13">
      <c r="C339" s="507" t="s">
        <v>1356</v>
      </c>
      <c r="D339" s="2" t="s">
        <v>891</v>
      </c>
      <c r="E339" s="4">
        <v>0.3</v>
      </c>
      <c r="F339" s="4"/>
      <c r="G339" s="4"/>
      <c r="H339" s="4">
        <v>0.3</v>
      </c>
      <c r="I339" s="2" t="s">
        <v>420</v>
      </c>
      <c r="J339" s="4"/>
      <c r="L339" s="2" t="s">
        <v>247</v>
      </c>
      <c r="M339" s="105" t="s">
        <v>892</v>
      </c>
    </row>
    <row r="340" spans="3:13">
      <c r="C340" s="507" t="s">
        <v>1357</v>
      </c>
      <c r="D340" s="2" t="s">
        <v>893</v>
      </c>
      <c r="E340" s="4"/>
      <c r="F340" s="4"/>
      <c r="G340" s="4"/>
      <c r="H340" s="4">
        <v>1.44</v>
      </c>
      <c r="I340" s="2" t="s">
        <v>420</v>
      </c>
      <c r="J340" s="4"/>
      <c r="L340" s="2" t="s">
        <v>247</v>
      </c>
      <c r="M340" s="105" t="s">
        <v>475</v>
      </c>
    </row>
    <row r="341" spans="3:13">
      <c r="C341" s="507" t="s">
        <v>1358</v>
      </c>
      <c r="D341" s="2" t="s">
        <v>894</v>
      </c>
      <c r="E341" s="4">
        <v>1.46</v>
      </c>
      <c r="F341" s="4"/>
      <c r="G341" s="4"/>
      <c r="H341" s="4">
        <v>1.46</v>
      </c>
      <c r="I341" s="2" t="s">
        <v>420</v>
      </c>
      <c r="J341" s="4"/>
      <c r="L341" s="2" t="s">
        <v>247</v>
      </c>
      <c r="M341" s="103" t="s">
        <v>475</v>
      </c>
    </row>
    <row r="342" spans="3:13">
      <c r="C342" s="507" t="s">
        <v>1359</v>
      </c>
      <c r="D342" s="2" t="s">
        <v>895</v>
      </c>
      <c r="E342" s="4">
        <v>0.61</v>
      </c>
      <c r="F342" s="4"/>
      <c r="G342" s="4"/>
      <c r="H342" s="4">
        <v>0.61</v>
      </c>
      <c r="I342" s="2" t="s">
        <v>420</v>
      </c>
      <c r="J342" s="4"/>
      <c r="L342" s="2" t="s">
        <v>247</v>
      </c>
      <c r="M342" s="103" t="s">
        <v>475</v>
      </c>
    </row>
    <row r="343" spans="3:13">
      <c r="C343" s="507" t="s">
        <v>1360</v>
      </c>
      <c r="D343" s="2" t="s">
        <v>896</v>
      </c>
      <c r="E343" s="4">
        <v>0.28000000000000003</v>
      </c>
      <c r="F343" s="4"/>
      <c r="G343" s="4"/>
      <c r="H343" s="4">
        <v>0.28000000000000003</v>
      </c>
      <c r="I343" s="2" t="s">
        <v>420</v>
      </c>
      <c r="J343" s="4"/>
      <c r="L343" s="2" t="s">
        <v>247</v>
      </c>
      <c r="M343" s="46" t="s">
        <v>856</v>
      </c>
    </row>
    <row r="344" spans="3:13">
      <c r="C344" s="507" t="s">
        <v>1361</v>
      </c>
      <c r="D344" s="2" t="s">
        <v>897</v>
      </c>
      <c r="E344" s="4">
        <v>0.28000000000000003</v>
      </c>
      <c r="F344" s="4"/>
      <c r="G344" s="4"/>
      <c r="H344" s="4">
        <v>0.28000000000000003</v>
      </c>
      <c r="I344" s="2" t="s">
        <v>420</v>
      </c>
      <c r="J344" s="4"/>
      <c r="L344" s="2" t="s">
        <v>247</v>
      </c>
      <c r="M344" s="46" t="s">
        <v>856</v>
      </c>
    </row>
    <row r="345" spans="3:13">
      <c r="C345" s="507" t="s">
        <v>1362</v>
      </c>
      <c r="D345" s="2" t="s">
        <v>898</v>
      </c>
      <c r="E345" s="4">
        <v>0.28000000000000003</v>
      </c>
      <c r="F345" s="4"/>
      <c r="G345" s="4"/>
      <c r="H345" s="4">
        <v>0.28000000000000003</v>
      </c>
      <c r="I345" s="2" t="s">
        <v>420</v>
      </c>
      <c r="J345" s="4"/>
      <c r="L345" s="2" t="s">
        <v>247</v>
      </c>
      <c r="M345" s="46" t="s">
        <v>856</v>
      </c>
    </row>
    <row r="346" spans="3:13">
      <c r="C346" s="575" t="s">
        <v>1408</v>
      </c>
      <c r="D346" s="575" t="s">
        <v>1409</v>
      </c>
      <c r="E346" s="4">
        <v>2.52</v>
      </c>
      <c r="F346" s="4"/>
      <c r="G346" s="4"/>
      <c r="H346" s="4">
        <v>2.52</v>
      </c>
      <c r="I346" s="2" t="s">
        <v>420</v>
      </c>
      <c r="J346" s="4"/>
      <c r="L346" s="2" t="s">
        <v>247</v>
      </c>
      <c r="M346" s="46" t="s">
        <v>856</v>
      </c>
    </row>
    <row r="347" spans="3:13">
      <c r="C347" s="507" t="s">
        <v>1363</v>
      </c>
      <c r="D347" s="2" t="s">
        <v>899</v>
      </c>
      <c r="E347" s="4">
        <v>0.4</v>
      </c>
      <c r="F347" s="4"/>
      <c r="G347" s="4"/>
      <c r="H347" s="4">
        <v>0.4</v>
      </c>
      <c r="I347" s="2" t="s">
        <v>420</v>
      </c>
      <c r="J347" s="4"/>
      <c r="L347" s="2" t="s">
        <v>247</v>
      </c>
      <c r="M347" s="105" t="s">
        <v>900</v>
      </c>
    </row>
    <row r="348" spans="3:13">
      <c r="C348" s="507" t="s">
        <v>1364</v>
      </c>
      <c r="D348" s="2" t="s">
        <v>901</v>
      </c>
      <c r="E348" s="4">
        <v>1.78</v>
      </c>
      <c r="F348" s="4"/>
      <c r="G348" s="4"/>
      <c r="H348" s="4">
        <v>1.78</v>
      </c>
      <c r="I348" s="2" t="s">
        <v>420</v>
      </c>
      <c r="J348" s="4"/>
      <c r="L348" s="2" t="s">
        <v>247</v>
      </c>
      <c r="M348" s="46" t="s">
        <v>856</v>
      </c>
    </row>
    <row r="349" spans="3:13">
      <c r="C349" s="575" t="s">
        <v>1413</v>
      </c>
      <c r="D349" s="2" t="s">
        <v>832</v>
      </c>
      <c r="E349" s="4">
        <v>0.2</v>
      </c>
      <c r="F349" s="4"/>
      <c r="G349" s="4"/>
      <c r="H349" s="4">
        <v>0.2</v>
      </c>
      <c r="I349" s="2" t="s">
        <v>420</v>
      </c>
      <c r="J349" s="4"/>
      <c r="L349" s="2" t="s">
        <v>247</v>
      </c>
      <c r="M349" s="105" t="s">
        <v>833</v>
      </c>
    </row>
    <row r="350" spans="3:13">
      <c r="C350" s="507" t="s">
        <v>1365</v>
      </c>
      <c r="D350" s="2" t="s">
        <v>902</v>
      </c>
      <c r="E350" s="4">
        <v>0.34</v>
      </c>
      <c r="F350" s="4"/>
      <c r="G350" s="4"/>
      <c r="H350" s="4">
        <v>0.34</v>
      </c>
      <c r="I350" s="2" t="s">
        <v>420</v>
      </c>
      <c r="J350" s="4"/>
      <c r="L350" s="2" t="s">
        <v>247</v>
      </c>
      <c r="M350" s="103" t="s">
        <v>475</v>
      </c>
    </row>
    <row r="351" spans="3:13">
      <c r="C351" s="507" t="s">
        <v>1366</v>
      </c>
      <c r="D351" s="2" t="s">
        <v>903</v>
      </c>
      <c r="E351" s="4"/>
      <c r="F351" s="4"/>
      <c r="G351" s="4"/>
      <c r="H351" s="4">
        <v>0.28999999999999998</v>
      </c>
      <c r="I351" s="2" t="s">
        <v>420</v>
      </c>
      <c r="J351" s="4"/>
      <c r="L351" s="2" t="s">
        <v>247</v>
      </c>
      <c r="M351" s="105" t="s">
        <v>475</v>
      </c>
    </row>
    <row r="352" spans="3:13">
      <c r="C352" s="507" t="s">
        <v>1367</v>
      </c>
      <c r="D352" s="2" t="s">
        <v>904</v>
      </c>
      <c r="E352" s="4"/>
      <c r="F352" s="4"/>
      <c r="G352" s="4"/>
      <c r="H352" s="4">
        <v>0.7</v>
      </c>
      <c r="I352" s="2" t="s">
        <v>420</v>
      </c>
      <c r="J352" s="4"/>
      <c r="L352" s="2" t="s">
        <v>247</v>
      </c>
      <c r="M352" s="45" t="s">
        <v>870</v>
      </c>
    </row>
    <row r="353" spans="3:13">
      <c r="C353" s="507" t="s">
        <v>1368</v>
      </c>
      <c r="D353" s="2" t="s">
        <v>905</v>
      </c>
      <c r="E353" s="4">
        <v>4.34</v>
      </c>
      <c r="F353" s="4"/>
      <c r="G353" s="4"/>
      <c r="H353" s="4">
        <v>4.34</v>
      </c>
      <c r="I353" s="2" t="s">
        <v>420</v>
      </c>
      <c r="J353" s="4"/>
      <c r="L353" s="2" t="s">
        <v>247</v>
      </c>
      <c r="M353" s="46" t="s">
        <v>856</v>
      </c>
    </row>
    <row r="354" spans="3:13">
      <c r="C354" s="507" t="s">
        <v>1369</v>
      </c>
      <c r="D354" s="2" t="s">
        <v>906</v>
      </c>
      <c r="E354" s="4">
        <v>0.46</v>
      </c>
      <c r="F354" s="4"/>
      <c r="G354" s="4"/>
      <c r="H354" s="4">
        <v>0.46</v>
      </c>
      <c r="I354" s="2" t="s">
        <v>420</v>
      </c>
      <c r="J354" s="4"/>
      <c r="L354" s="2" t="s">
        <v>247</v>
      </c>
      <c r="M354" s="46" t="s">
        <v>856</v>
      </c>
    </row>
    <row r="355" spans="3:13">
      <c r="C355" s="507" t="s">
        <v>1370</v>
      </c>
      <c r="D355" s="2" t="s">
        <v>907</v>
      </c>
      <c r="E355" s="4">
        <v>0.44</v>
      </c>
      <c r="F355" s="4"/>
      <c r="G355" s="4"/>
      <c r="H355" s="4">
        <v>0.44</v>
      </c>
      <c r="I355" s="2" t="s">
        <v>420</v>
      </c>
      <c r="J355" s="4"/>
      <c r="L355" s="2" t="s">
        <v>247</v>
      </c>
      <c r="M355" s="46" t="s">
        <v>856</v>
      </c>
    </row>
    <row r="356" spans="3:13">
      <c r="C356" s="507" t="s">
        <v>1371</v>
      </c>
      <c r="D356" s="2" t="s">
        <v>908</v>
      </c>
      <c r="E356" s="4"/>
      <c r="F356" s="4"/>
      <c r="G356" s="4"/>
      <c r="H356" s="4">
        <v>0.4</v>
      </c>
      <c r="I356" s="2" t="s">
        <v>420</v>
      </c>
      <c r="J356" s="4"/>
      <c r="L356" s="2" t="s">
        <v>247</v>
      </c>
      <c r="M356" s="45" t="s">
        <v>870</v>
      </c>
    </row>
    <row r="357" spans="3:13">
      <c r="C357" s="507" t="s">
        <v>1372</v>
      </c>
      <c r="D357" s="2" t="s">
        <v>909</v>
      </c>
      <c r="E357" s="4">
        <v>1.45</v>
      </c>
      <c r="F357" s="4"/>
      <c r="G357" s="4"/>
      <c r="H357" s="4">
        <v>1.45</v>
      </c>
      <c r="I357" s="2" t="s">
        <v>420</v>
      </c>
      <c r="J357" s="4"/>
      <c r="L357" s="2" t="s">
        <v>247</v>
      </c>
      <c r="M357" s="103" t="s">
        <v>475</v>
      </c>
    </row>
    <row r="358" spans="3:13">
      <c r="C358" s="507" t="s">
        <v>1373</v>
      </c>
      <c r="D358" s="2" t="s">
        <v>910</v>
      </c>
      <c r="E358" s="4"/>
      <c r="F358" s="4"/>
      <c r="G358" s="4"/>
      <c r="H358" s="4">
        <v>0.35</v>
      </c>
      <c r="I358" s="2" t="s">
        <v>420</v>
      </c>
      <c r="J358" s="4"/>
      <c r="L358" s="2" t="s">
        <v>247</v>
      </c>
      <c r="M358" s="105" t="s">
        <v>475</v>
      </c>
    </row>
    <row r="359" spans="3:13">
      <c r="C359" s="507" t="s">
        <v>1374</v>
      </c>
      <c r="D359" s="2" t="s">
        <v>911</v>
      </c>
      <c r="E359" s="4">
        <v>1.52</v>
      </c>
      <c r="F359" s="4"/>
      <c r="G359" s="4"/>
      <c r="H359" s="4">
        <v>1.52</v>
      </c>
      <c r="I359" s="2" t="s">
        <v>420</v>
      </c>
      <c r="J359" s="4"/>
      <c r="L359" s="2" t="s">
        <v>247</v>
      </c>
      <c r="M359" s="103" t="s">
        <v>475</v>
      </c>
    </row>
    <row r="360" spans="3:13">
      <c r="C360" s="507" t="s">
        <v>1375</v>
      </c>
      <c r="D360" s="2" t="s">
        <v>912</v>
      </c>
      <c r="E360" s="4">
        <v>0.32</v>
      </c>
      <c r="F360" s="4"/>
      <c r="G360" s="4"/>
      <c r="H360" s="4">
        <v>0.32</v>
      </c>
      <c r="I360" s="2" t="s">
        <v>420</v>
      </c>
      <c r="J360" s="4"/>
      <c r="L360" s="2" t="s">
        <v>247</v>
      </c>
      <c r="M360" s="103" t="s">
        <v>475</v>
      </c>
    </row>
    <row r="361" spans="3:13">
      <c r="C361" s="507" t="s">
        <v>1376</v>
      </c>
      <c r="D361" s="2" t="s">
        <v>913</v>
      </c>
      <c r="E361" s="4">
        <v>2.71</v>
      </c>
      <c r="F361" s="4"/>
      <c r="G361" s="4"/>
      <c r="H361" s="4">
        <v>2.71</v>
      </c>
      <c r="I361" s="2" t="s">
        <v>420</v>
      </c>
      <c r="J361" s="4"/>
      <c r="L361" s="2" t="s">
        <v>247</v>
      </c>
      <c r="M361" s="103" t="s">
        <v>475</v>
      </c>
    </row>
    <row r="362" spans="3:13">
      <c r="C362" s="507" t="s">
        <v>1377</v>
      </c>
      <c r="D362" s="2" t="s">
        <v>914</v>
      </c>
      <c r="E362" s="4">
        <v>3.05</v>
      </c>
      <c r="F362" s="4"/>
      <c r="G362" s="4"/>
      <c r="H362" s="4">
        <v>3.05</v>
      </c>
      <c r="I362" s="2" t="s">
        <v>420</v>
      </c>
      <c r="J362" s="4"/>
      <c r="L362" s="2" t="s">
        <v>247</v>
      </c>
      <c r="M362" s="46" t="s">
        <v>856</v>
      </c>
    </row>
    <row r="363" spans="3:13">
      <c r="C363" s="507" t="s">
        <v>1378</v>
      </c>
      <c r="D363" s="2" t="s">
        <v>915</v>
      </c>
      <c r="E363" s="4"/>
      <c r="F363" s="4"/>
      <c r="G363" s="4"/>
      <c r="H363" s="4">
        <v>17.5</v>
      </c>
      <c r="I363" s="2" t="s">
        <v>420</v>
      </c>
      <c r="J363" s="4"/>
      <c r="L363" s="2" t="s">
        <v>247</v>
      </c>
      <c r="M363" s="45" t="s">
        <v>870</v>
      </c>
    </row>
    <row r="364" spans="3:13">
      <c r="C364" s="507" t="s">
        <v>1379</v>
      </c>
      <c r="D364" s="2" t="s">
        <v>916</v>
      </c>
      <c r="E364" s="4"/>
      <c r="F364" s="4"/>
      <c r="G364" s="4"/>
      <c r="H364" s="4">
        <v>10.35</v>
      </c>
      <c r="I364" s="2" t="s">
        <v>420</v>
      </c>
      <c r="J364" s="4"/>
      <c r="L364" s="2" t="s">
        <v>247</v>
      </c>
      <c r="M364" s="45" t="s">
        <v>870</v>
      </c>
    </row>
    <row r="365" spans="3:13">
      <c r="C365" s="507" t="s">
        <v>1380</v>
      </c>
      <c r="D365" s="2" t="s">
        <v>917</v>
      </c>
      <c r="E365" s="4">
        <v>0.93</v>
      </c>
      <c r="F365" s="4"/>
      <c r="G365" s="4"/>
      <c r="H365" s="4">
        <v>0.93</v>
      </c>
      <c r="I365" s="2" t="s">
        <v>420</v>
      </c>
      <c r="J365" s="4"/>
      <c r="L365" s="2" t="s">
        <v>247</v>
      </c>
      <c r="M365" s="103" t="s">
        <v>475</v>
      </c>
    </row>
    <row r="366" spans="3:13">
      <c r="C366" s="507" t="s">
        <v>1381</v>
      </c>
      <c r="D366" s="2" t="s">
        <v>918</v>
      </c>
      <c r="E366" s="4"/>
      <c r="F366" s="4"/>
      <c r="G366" s="4"/>
      <c r="H366" s="4">
        <v>0.32</v>
      </c>
      <c r="I366" s="2" t="s">
        <v>420</v>
      </c>
      <c r="J366" s="4"/>
      <c r="L366" s="2" t="s">
        <v>247</v>
      </c>
      <c r="M366" s="103" t="s">
        <v>475</v>
      </c>
    </row>
    <row r="367" spans="3:13">
      <c r="C367" s="507" t="s">
        <v>1382</v>
      </c>
      <c r="D367" s="2" t="s">
        <v>919</v>
      </c>
      <c r="E367" s="4">
        <v>1.36</v>
      </c>
      <c r="F367" s="4"/>
      <c r="G367" s="4"/>
      <c r="H367" s="4">
        <v>1.36</v>
      </c>
      <c r="I367" s="2" t="s">
        <v>420</v>
      </c>
      <c r="J367" s="4"/>
      <c r="L367" s="2" t="s">
        <v>247</v>
      </c>
      <c r="M367" s="48" t="s">
        <v>856</v>
      </c>
    </row>
    <row r="368" spans="3:13">
      <c r="C368" s="507" t="s">
        <v>1383</v>
      </c>
      <c r="D368" s="2" t="s">
        <v>920</v>
      </c>
      <c r="E368" s="4"/>
      <c r="F368" s="4"/>
      <c r="G368" s="4"/>
      <c r="H368" s="4">
        <v>0.42</v>
      </c>
      <c r="I368" s="2" t="s">
        <v>420</v>
      </c>
      <c r="J368" s="4"/>
      <c r="L368" s="2" t="s">
        <v>247</v>
      </c>
      <c r="M368" s="103" t="s">
        <v>475</v>
      </c>
    </row>
    <row r="369" spans="3:13">
      <c r="C369" s="507" t="s">
        <v>1384</v>
      </c>
      <c r="D369" s="2" t="s">
        <v>921</v>
      </c>
      <c r="E369" s="4"/>
      <c r="F369" s="4"/>
      <c r="G369" s="4"/>
      <c r="H369" s="4">
        <v>0.96</v>
      </c>
      <c r="I369" s="2" t="s">
        <v>420</v>
      </c>
      <c r="J369" s="4"/>
      <c r="L369" s="2" t="s">
        <v>247</v>
      </c>
      <c r="M369" s="103" t="s">
        <v>475</v>
      </c>
    </row>
    <row r="370" spans="3:13">
      <c r="C370" s="507" t="s">
        <v>1385</v>
      </c>
      <c r="D370" s="2" t="s">
        <v>922</v>
      </c>
      <c r="E370" s="4"/>
      <c r="F370" s="4"/>
      <c r="G370" s="4"/>
      <c r="H370" s="4">
        <v>0.27</v>
      </c>
      <c r="I370" s="2" t="s">
        <v>420</v>
      </c>
      <c r="J370" s="4"/>
      <c r="L370" s="2" t="s">
        <v>247</v>
      </c>
      <c r="M370" s="103" t="s">
        <v>475</v>
      </c>
    </row>
    <row r="371" spans="3:13">
      <c r="C371" s="507" t="s">
        <v>1386</v>
      </c>
      <c r="D371" s="2" t="s">
        <v>923</v>
      </c>
      <c r="E371" s="4"/>
      <c r="F371" s="4"/>
      <c r="G371" s="4"/>
      <c r="H371" s="4">
        <v>0.28000000000000003</v>
      </c>
      <c r="I371" s="2" t="s">
        <v>420</v>
      </c>
      <c r="J371" s="4"/>
      <c r="L371" s="2" t="s">
        <v>247</v>
      </c>
      <c r="M371" s="103" t="s">
        <v>475</v>
      </c>
    </row>
    <row r="372" spans="3:13" ht="32.5">
      <c r="C372" s="507" t="s">
        <v>1387</v>
      </c>
      <c r="D372" s="2" t="s">
        <v>924</v>
      </c>
      <c r="E372" s="4"/>
      <c r="F372" s="4"/>
      <c r="G372" s="4"/>
      <c r="H372" s="4">
        <v>7.6999999999999999E-2</v>
      </c>
      <c r="I372" s="2" t="s">
        <v>420</v>
      </c>
      <c r="J372" s="4">
        <v>1.1599999999999999</v>
      </c>
      <c r="K372" s="2" t="s">
        <v>421</v>
      </c>
      <c r="L372" s="2" t="s">
        <v>247</v>
      </c>
      <c r="M372" s="45" t="s">
        <v>925</v>
      </c>
    </row>
    <row r="373" spans="3:13">
      <c r="C373" s="507" t="s">
        <v>1388</v>
      </c>
      <c r="D373" s="2" t="s">
        <v>926</v>
      </c>
      <c r="E373" s="4">
        <v>1.2</v>
      </c>
      <c r="F373" s="4"/>
      <c r="G373" s="4"/>
      <c r="H373" s="4">
        <v>1.2</v>
      </c>
      <c r="I373" s="2" t="s">
        <v>420</v>
      </c>
      <c r="J373" s="4"/>
      <c r="L373" s="2" t="s">
        <v>247</v>
      </c>
      <c r="M373" s="103" t="s">
        <v>927</v>
      </c>
    </row>
    <row r="374" spans="3:13">
      <c r="C374" s="499" t="s">
        <v>1389</v>
      </c>
      <c r="D374" s="2" t="s">
        <v>928</v>
      </c>
      <c r="E374" s="4">
        <v>3.66</v>
      </c>
      <c r="F374" s="4"/>
      <c r="G374" s="4"/>
      <c r="H374" s="4">
        <v>3.66</v>
      </c>
      <c r="I374" s="2" t="s">
        <v>420</v>
      </c>
      <c r="J374" s="4"/>
      <c r="L374" s="2" t="s">
        <v>247</v>
      </c>
      <c r="M374" s="48" t="s">
        <v>856</v>
      </c>
    </row>
    <row r="375" spans="3:13">
      <c r="C375" s="575" t="s">
        <v>1670</v>
      </c>
      <c r="D375" s="575" t="s">
        <v>1671</v>
      </c>
      <c r="E375" s="4">
        <v>4.3099999999999996</v>
      </c>
      <c r="F375" s="4"/>
      <c r="G375" s="4"/>
      <c r="H375" s="4">
        <v>4.3099999999999996</v>
      </c>
      <c r="I375" s="2" t="s">
        <v>420</v>
      </c>
      <c r="J375" s="4"/>
      <c r="L375" s="2" t="s">
        <v>247</v>
      </c>
      <c r="M375" s="48" t="s">
        <v>856</v>
      </c>
    </row>
    <row r="376" spans="3:13">
      <c r="C376" s="507" t="s">
        <v>1390</v>
      </c>
      <c r="D376" s="2" t="s">
        <v>929</v>
      </c>
      <c r="E376" s="4"/>
      <c r="F376" s="4"/>
      <c r="G376" s="4"/>
      <c r="H376" s="4">
        <v>4.1500000000000004</v>
      </c>
      <c r="I376" s="2" t="s">
        <v>420</v>
      </c>
      <c r="J376" s="4"/>
      <c r="L376" s="2" t="s">
        <v>247</v>
      </c>
      <c r="M376" s="105" t="s">
        <v>475</v>
      </c>
    </row>
    <row r="377" spans="3:13">
      <c r="C377" s="507" t="s">
        <v>1391</v>
      </c>
      <c r="D377" s="2" t="s">
        <v>930</v>
      </c>
      <c r="E377" s="4"/>
      <c r="F377" s="4"/>
      <c r="G377" s="4"/>
      <c r="H377" s="4">
        <v>0.2354</v>
      </c>
      <c r="I377" s="2" t="s">
        <v>420</v>
      </c>
      <c r="J377" s="4">
        <v>0.374</v>
      </c>
      <c r="K377" s="2" t="s">
        <v>421</v>
      </c>
      <c r="L377" s="2" t="s">
        <v>853</v>
      </c>
      <c r="M377" s="45" t="s">
        <v>931</v>
      </c>
    </row>
    <row r="378" spans="3:13">
      <c r="C378" s="507" t="s">
        <v>1392</v>
      </c>
      <c r="D378" s="2" t="s">
        <v>932</v>
      </c>
      <c r="E378" s="4">
        <v>0.28000000000000003</v>
      </c>
      <c r="F378" s="4"/>
      <c r="G378" s="4"/>
      <c r="H378" s="4">
        <v>0.28000000000000003</v>
      </c>
      <c r="I378" s="2" t="s">
        <v>420</v>
      </c>
      <c r="J378" s="4"/>
      <c r="L378" s="2" t="s">
        <v>247</v>
      </c>
      <c r="M378" s="48" t="s">
        <v>856</v>
      </c>
    </row>
    <row r="379" spans="3:13">
      <c r="C379" s="507" t="s">
        <v>1393</v>
      </c>
      <c r="D379" s="2" t="s">
        <v>933</v>
      </c>
      <c r="E379" s="4"/>
      <c r="F379" s="4"/>
      <c r="G379" s="4"/>
      <c r="H379" s="4">
        <v>0.41</v>
      </c>
      <c r="I379" s="2" t="s">
        <v>420</v>
      </c>
      <c r="J379" s="4"/>
      <c r="L379" s="2" t="s">
        <v>247</v>
      </c>
      <c r="M379" s="103" t="s">
        <v>475</v>
      </c>
    </row>
    <row r="380" spans="3:13">
      <c r="C380" s="507" t="s">
        <v>1394</v>
      </c>
      <c r="D380" s="2" t="s">
        <v>934</v>
      </c>
      <c r="E380" s="4">
        <v>1.66</v>
      </c>
      <c r="F380" s="4"/>
      <c r="G380" s="4"/>
      <c r="H380" s="4">
        <v>1.66</v>
      </c>
      <c r="I380" s="2" t="s">
        <v>420</v>
      </c>
      <c r="J380" s="4"/>
      <c r="L380" s="2" t="s">
        <v>247</v>
      </c>
      <c r="M380" s="48" t="s">
        <v>856</v>
      </c>
    </row>
    <row r="381" spans="3:13">
      <c r="C381" s="507" t="s">
        <v>1395</v>
      </c>
      <c r="D381" s="2" t="s">
        <v>935</v>
      </c>
      <c r="E381" s="4"/>
      <c r="F381" s="4"/>
      <c r="G381" s="4"/>
      <c r="H381" s="4">
        <v>0.77</v>
      </c>
      <c r="I381" s="2" t="s">
        <v>420</v>
      </c>
      <c r="J381" s="4"/>
      <c r="L381" s="2" t="s">
        <v>247</v>
      </c>
      <c r="M381" s="103" t="s">
        <v>475</v>
      </c>
    </row>
    <row r="382" spans="3:13">
      <c r="C382" s="507" t="s">
        <v>1396</v>
      </c>
      <c r="D382" s="2" t="s">
        <v>936</v>
      </c>
      <c r="E382" s="4"/>
      <c r="F382" s="4"/>
      <c r="G382" s="4"/>
      <c r="H382" s="4">
        <v>0.27</v>
      </c>
      <c r="I382" s="2" t="s">
        <v>420</v>
      </c>
      <c r="J382" s="4"/>
      <c r="L382" s="2" t="s">
        <v>247</v>
      </c>
      <c r="M382" s="103" t="s">
        <v>475</v>
      </c>
    </row>
    <row r="383" spans="3:13">
      <c r="C383" s="507" t="s">
        <v>1397</v>
      </c>
      <c r="D383" s="2" t="s">
        <v>937</v>
      </c>
      <c r="E383" s="4"/>
      <c r="F383" s="4"/>
      <c r="G383" s="4"/>
      <c r="H383" s="4">
        <v>0.35</v>
      </c>
      <c r="I383" s="2" t="s">
        <v>420</v>
      </c>
      <c r="J383" s="4"/>
      <c r="L383" s="2" t="s">
        <v>247</v>
      </c>
      <c r="M383" s="103" t="s">
        <v>475</v>
      </c>
    </row>
    <row r="384" spans="3:13">
      <c r="C384" s="507" t="s">
        <v>1398</v>
      </c>
      <c r="D384" s="2" t="s">
        <v>938</v>
      </c>
      <c r="E384" s="4"/>
      <c r="F384" s="4"/>
      <c r="G384" s="4"/>
      <c r="H384" s="4">
        <v>1.01</v>
      </c>
      <c r="I384" s="2" t="s">
        <v>420</v>
      </c>
      <c r="J384" s="4"/>
      <c r="L384" s="2" t="s">
        <v>853</v>
      </c>
      <c r="M384" s="49" t="s">
        <v>939</v>
      </c>
    </row>
    <row r="385" spans="3:13">
      <c r="C385" s="507" t="s">
        <v>1399</v>
      </c>
      <c r="D385" s="2" t="s">
        <v>940</v>
      </c>
      <c r="E385" s="4"/>
      <c r="F385" s="4"/>
      <c r="G385" s="4"/>
      <c r="H385" s="4">
        <v>0.37</v>
      </c>
      <c r="I385" s="2" t="s">
        <v>420</v>
      </c>
      <c r="J385" s="4"/>
      <c r="L385" s="2" t="s">
        <v>247</v>
      </c>
      <c r="M385" s="105" t="s">
        <v>475</v>
      </c>
    </row>
    <row r="386" spans="3:13">
      <c r="C386" s="507" t="s">
        <v>1400</v>
      </c>
      <c r="D386" s="2" t="s">
        <v>941</v>
      </c>
      <c r="E386" s="4"/>
      <c r="F386" s="4"/>
      <c r="G386" s="4"/>
      <c r="H386" s="4">
        <v>0.4</v>
      </c>
      <c r="I386" s="2" t="s">
        <v>420</v>
      </c>
      <c r="J386" s="4"/>
      <c r="L386" s="2" t="s">
        <v>247</v>
      </c>
      <c r="M386" s="103" t="s">
        <v>475</v>
      </c>
    </row>
    <row r="387" spans="3:13">
      <c r="C387" s="507" t="s">
        <v>1401</v>
      </c>
      <c r="D387" s="2" t="s">
        <v>942</v>
      </c>
      <c r="E387" s="4"/>
      <c r="F387" s="4"/>
      <c r="G387" s="4"/>
      <c r="H387" s="4">
        <v>0.45</v>
      </c>
      <c r="I387" s="2" t="s">
        <v>420</v>
      </c>
      <c r="J387" s="4"/>
      <c r="L387" s="2" t="s">
        <v>247</v>
      </c>
      <c r="M387" s="45" t="s">
        <v>870</v>
      </c>
    </row>
    <row r="388" spans="3:13">
      <c r="C388" s="507" t="s">
        <v>1402</v>
      </c>
      <c r="D388" s="2" t="s">
        <v>943</v>
      </c>
      <c r="E388" s="4"/>
      <c r="F388" s="4"/>
      <c r="G388" s="4"/>
      <c r="H388" s="4">
        <v>0.3</v>
      </c>
      <c r="I388" s="2" t="s">
        <v>420</v>
      </c>
      <c r="J388" s="4"/>
      <c r="L388" s="2" t="s">
        <v>247</v>
      </c>
      <c r="M388" s="103" t="s">
        <v>475</v>
      </c>
    </row>
    <row r="389" spans="3:13">
      <c r="C389" s="507" t="s">
        <v>1403</v>
      </c>
      <c r="D389" s="2" t="s">
        <v>944</v>
      </c>
      <c r="E389" s="4"/>
      <c r="F389" s="4"/>
      <c r="G389" s="4"/>
      <c r="H389" s="4">
        <v>3.77</v>
      </c>
      <c r="I389" s="2" t="s">
        <v>420</v>
      </c>
      <c r="J389" s="4"/>
      <c r="L389" s="2" t="s">
        <v>247</v>
      </c>
      <c r="M389" s="103" t="s">
        <v>475</v>
      </c>
    </row>
    <row r="390" spans="3:13">
      <c r="C390" s="507" t="s">
        <v>1404</v>
      </c>
      <c r="D390" s="2" t="s">
        <v>945</v>
      </c>
      <c r="E390" s="4"/>
      <c r="F390" s="4"/>
      <c r="G390" s="4"/>
      <c r="H390" s="4">
        <v>0.36</v>
      </c>
      <c r="I390" s="2" t="s">
        <v>420</v>
      </c>
      <c r="J390" s="4"/>
      <c r="L390" s="2" t="s">
        <v>247</v>
      </c>
      <c r="M390" s="103" t="s">
        <v>475</v>
      </c>
    </row>
    <row r="391" spans="3:13">
      <c r="C391" s="507" t="s">
        <v>1405</v>
      </c>
      <c r="D391" s="2" t="s">
        <v>946</v>
      </c>
      <c r="E391" s="4"/>
      <c r="F391" s="4"/>
      <c r="G391" s="4"/>
      <c r="H391" s="4">
        <v>0.25</v>
      </c>
      <c r="I391" s="2" t="s">
        <v>420</v>
      </c>
      <c r="J391" s="4"/>
      <c r="L391" s="2" t="s">
        <v>247</v>
      </c>
      <c r="M391" s="103" t="s">
        <v>475</v>
      </c>
    </row>
    <row r="392" spans="3:13">
      <c r="C392" s="507" t="s">
        <v>1406</v>
      </c>
      <c r="D392" s="2" t="s">
        <v>947</v>
      </c>
      <c r="E392" s="4"/>
      <c r="F392" s="4"/>
      <c r="G392" s="4"/>
      <c r="H392" s="4">
        <v>1.5</v>
      </c>
      <c r="I392" s="2" t="s">
        <v>420</v>
      </c>
      <c r="J392" s="4"/>
      <c r="L392" s="2" t="s">
        <v>247</v>
      </c>
      <c r="M392" s="45" t="s">
        <v>870</v>
      </c>
    </row>
    <row r="393" spans="3:13">
      <c r="C393" s="507" t="s">
        <v>1407</v>
      </c>
      <c r="D393" s="2" t="s">
        <v>948</v>
      </c>
      <c r="E393" s="4"/>
      <c r="F393" s="4"/>
      <c r="G393" s="4"/>
      <c r="H393" s="4">
        <v>0.25</v>
      </c>
      <c r="I393" s="2" t="s">
        <v>420</v>
      </c>
      <c r="L393" s="2" t="s">
        <v>247</v>
      </c>
      <c r="M393" s="103" t="s">
        <v>475</v>
      </c>
    </row>
    <row r="394" spans="3:13">
      <c r="C394" s="47" t="s">
        <v>949</v>
      </c>
      <c r="D394" s="47" t="s">
        <v>949</v>
      </c>
      <c r="E394" s="107">
        <v>1.6</v>
      </c>
      <c r="F394" s="107"/>
      <c r="G394" s="107"/>
      <c r="H394" s="107">
        <v>1.76</v>
      </c>
      <c r="I394" s="2" t="s">
        <v>420</v>
      </c>
      <c r="J394" s="107"/>
      <c r="K394" s="47"/>
      <c r="L394" s="47" t="s">
        <v>247</v>
      </c>
      <c r="M394" s="104" t="s">
        <v>950</v>
      </c>
    </row>
    <row r="395" spans="3:13" ht="22">
      <c r="C395" s="2" t="s">
        <v>951</v>
      </c>
      <c r="D395" s="2" t="s">
        <v>952</v>
      </c>
      <c r="E395" s="4"/>
      <c r="F395" s="4"/>
      <c r="G395" s="4"/>
      <c r="H395" s="4">
        <v>4.4000000000000004</v>
      </c>
      <c r="I395" s="2" t="s">
        <v>420</v>
      </c>
      <c r="J395" s="4"/>
      <c r="L395" s="2" t="s">
        <v>247</v>
      </c>
      <c r="M395" s="46" t="s">
        <v>953</v>
      </c>
    </row>
    <row r="396" spans="3:13" ht="22">
      <c r="C396" s="2" t="s">
        <v>954</v>
      </c>
      <c r="D396" s="2" t="s">
        <v>346</v>
      </c>
      <c r="E396" s="4"/>
      <c r="F396" s="4"/>
      <c r="G396" s="4"/>
      <c r="H396" s="4">
        <v>9.7299999999999998E-2</v>
      </c>
      <c r="I396" s="2" t="s">
        <v>420</v>
      </c>
      <c r="J396" s="4">
        <v>3.6</v>
      </c>
      <c r="K396" s="2" t="s">
        <v>421</v>
      </c>
      <c r="L396" s="2" t="s">
        <v>241</v>
      </c>
      <c r="M396" s="45" t="s">
        <v>955</v>
      </c>
    </row>
    <row r="397" spans="3:13">
      <c r="C397" s="2" t="s">
        <v>956</v>
      </c>
      <c r="D397" s="2" t="s">
        <v>956</v>
      </c>
      <c r="E397" s="4"/>
      <c r="F397" s="4"/>
      <c r="G397" s="4"/>
      <c r="H397" s="4">
        <v>0.61</v>
      </c>
      <c r="I397" s="2" t="s">
        <v>420</v>
      </c>
      <c r="J397" s="4">
        <v>11.93</v>
      </c>
      <c r="K397" s="2" t="s">
        <v>421</v>
      </c>
      <c r="L397" s="2" t="s">
        <v>247</v>
      </c>
      <c r="M397" s="45" t="s">
        <v>957</v>
      </c>
    </row>
    <row r="398" spans="3:13">
      <c r="C398" s="2" t="s">
        <v>958</v>
      </c>
      <c r="D398" s="2" t="s">
        <v>958</v>
      </c>
      <c r="E398" s="4">
        <v>4.5199999999999996</v>
      </c>
      <c r="F398" s="4"/>
      <c r="G398" s="4"/>
      <c r="H398" s="4">
        <v>4.87</v>
      </c>
      <c r="I398" s="2" t="s">
        <v>420</v>
      </c>
      <c r="J398" s="107"/>
      <c r="K398" s="47"/>
      <c r="L398" s="47" t="s">
        <v>247</v>
      </c>
      <c r="M398" s="104" t="s">
        <v>959</v>
      </c>
    </row>
    <row r="399" spans="3:13">
      <c r="C399" s="47" t="s">
        <v>960</v>
      </c>
      <c r="D399" s="47" t="s">
        <v>961</v>
      </c>
      <c r="E399" s="107">
        <v>1.6</v>
      </c>
      <c r="F399" s="107"/>
      <c r="G399" s="107"/>
      <c r="H399" s="107">
        <v>1.76</v>
      </c>
      <c r="I399" s="2" t="s">
        <v>420</v>
      </c>
      <c r="J399" s="107"/>
      <c r="K399" s="47"/>
      <c r="L399" s="47" t="s">
        <v>247</v>
      </c>
      <c r="M399" s="106" t="s">
        <v>962</v>
      </c>
    </row>
    <row r="400" spans="3:13">
      <c r="C400" s="2" t="s">
        <v>963</v>
      </c>
      <c r="D400" s="2" t="s">
        <v>963</v>
      </c>
      <c r="E400" s="4"/>
      <c r="F400" s="4"/>
      <c r="G400" s="4"/>
      <c r="H400" s="4">
        <v>1.06</v>
      </c>
      <c r="I400" s="2" t="s">
        <v>420</v>
      </c>
      <c r="J400" s="4"/>
      <c r="L400" s="2" t="s">
        <v>247</v>
      </c>
      <c r="M400" s="46" t="s">
        <v>964</v>
      </c>
    </row>
    <row r="401" spans="3:13">
      <c r="C401" s="575" t="s">
        <v>1669</v>
      </c>
      <c r="D401" s="2" t="s">
        <v>965</v>
      </c>
      <c r="E401" s="4"/>
      <c r="F401" s="4"/>
      <c r="G401" s="4"/>
      <c r="H401" s="4">
        <v>0.88600000000000001</v>
      </c>
      <c r="I401" s="2" t="s">
        <v>420</v>
      </c>
      <c r="J401" s="4"/>
      <c r="L401" s="2" t="s">
        <v>247</v>
      </c>
      <c r="M401" s="46" t="s">
        <v>964</v>
      </c>
    </row>
    <row r="402" spans="3:13">
      <c r="C402" s="2" t="s">
        <v>966</v>
      </c>
      <c r="D402" s="2" t="s">
        <v>967</v>
      </c>
      <c r="E402" s="4"/>
      <c r="F402" s="4"/>
      <c r="G402" s="4"/>
      <c r="H402" s="4">
        <v>0.81899999999999995</v>
      </c>
      <c r="I402" s="2" t="s">
        <v>420</v>
      </c>
      <c r="J402" s="4"/>
      <c r="L402" s="2" t="s">
        <v>247</v>
      </c>
      <c r="M402" s="46" t="s">
        <v>968</v>
      </c>
    </row>
    <row r="403" spans="3:13">
      <c r="C403" s="2" t="s">
        <v>969</v>
      </c>
      <c r="D403" s="2" t="s">
        <v>970</v>
      </c>
      <c r="E403" s="4"/>
      <c r="F403" s="4"/>
      <c r="G403" s="4"/>
      <c r="H403" s="4">
        <v>9.3000000000000007</v>
      </c>
      <c r="I403" s="2" t="s">
        <v>420</v>
      </c>
      <c r="J403" s="4">
        <v>122.2</v>
      </c>
      <c r="K403" s="2" t="s">
        <v>421</v>
      </c>
      <c r="L403" s="2" t="s">
        <v>247</v>
      </c>
      <c r="M403" s="45" t="s">
        <v>971</v>
      </c>
    </row>
    <row r="404" spans="3:13" ht="22">
      <c r="C404" s="2" t="s">
        <v>972</v>
      </c>
      <c r="D404" s="2" t="s">
        <v>972</v>
      </c>
      <c r="E404" s="4"/>
      <c r="F404" s="4"/>
      <c r="G404" s="4"/>
      <c r="H404" s="4">
        <v>2.7</v>
      </c>
      <c r="I404" s="2" t="s">
        <v>420</v>
      </c>
      <c r="J404" s="4">
        <v>78.400000000000006</v>
      </c>
      <c r="K404" s="2" t="s">
        <v>421</v>
      </c>
      <c r="L404" s="2" t="s">
        <v>247</v>
      </c>
      <c r="M404" s="45" t="s">
        <v>973</v>
      </c>
    </row>
    <row r="405" spans="3:13">
      <c r="C405" s="2" t="s">
        <v>974</v>
      </c>
      <c r="D405" s="2" t="s">
        <v>975</v>
      </c>
      <c r="E405" s="4">
        <v>2.42</v>
      </c>
      <c r="F405" s="4"/>
      <c r="G405" s="4"/>
      <c r="H405" s="4">
        <v>2.4300000000000002</v>
      </c>
      <c r="I405" s="2" t="s">
        <v>420</v>
      </c>
      <c r="J405" s="4">
        <v>0.9</v>
      </c>
      <c r="K405" s="2" t="s">
        <v>421</v>
      </c>
      <c r="L405" s="2" t="s">
        <v>247</v>
      </c>
      <c r="M405" s="104" t="s">
        <v>976</v>
      </c>
    </row>
    <row r="406" spans="3:13">
      <c r="C406" s="2" t="s">
        <v>977</v>
      </c>
      <c r="D406" s="2" t="s">
        <v>978</v>
      </c>
      <c r="E406" s="4">
        <v>2.59</v>
      </c>
      <c r="F406" s="4"/>
      <c r="G406" s="4"/>
      <c r="H406" s="4">
        <v>2.61</v>
      </c>
      <c r="I406" s="2" t="s">
        <v>420</v>
      </c>
      <c r="J406" s="4">
        <v>3</v>
      </c>
      <c r="K406" s="2" t="s">
        <v>421</v>
      </c>
      <c r="L406" s="2" t="s">
        <v>247</v>
      </c>
      <c r="M406" s="104" t="s">
        <v>979</v>
      </c>
    </row>
    <row r="407" spans="3:13">
      <c r="C407" s="2" t="s">
        <v>980</v>
      </c>
      <c r="D407" s="2" t="s">
        <v>981</v>
      </c>
      <c r="E407" s="4">
        <v>1.72</v>
      </c>
      <c r="F407" s="4"/>
      <c r="G407" s="4"/>
      <c r="H407" s="4">
        <v>1.66</v>
      </c>
      <c r="I407" s="2" t="s">
        <v>420</v>
      </c>
      <c r="J407" s="4"/>
      <c r="L407" s="2" t="s">
        <v>247</v>
      </c>
      <c r="M407" s="104" t="s">
        <v>982</v>
      </c>
    </row>
    <row r="408" spans="3:13">
      <c r="C408" s="2" t="s">
        <v>983</v>
      </c>
      <c r="D408" s="2" t="s">
        <v>984</v>
      </c>
      <c r="E408" s="4">
        <v>2.87</v>
      </c>
      <c r="F408" s="4"/>
      <c r="G408" s="4"/>
      <c r="H408" s="4">
        <v>2.88</v>
      </c>
      <c r="I408" s="2" t="s">
        <v>420</v>
      </c>
      <c r="J408" s="4">
        <v>6.3</v>
      </c>
      <c r="K408" s="2" t="s">
        <v>421</v>
      </c>
      <c r="L408" s="2" t="s">
        <v>247</v>
      </c>
      <c r="M408" s="104" t="s">
        <v>985</v>
      </c>
    </row>
    <row r="409" spans="3:13">
      <c r="C409" s="2" t="s">
        <v>986</v>
      </c>
      <c r="D409" s="2" t="s">
        <v>987</v>
      </c>
      <c r="E409" s="4">
        <v>2.86</v>
      </c>
      <c r="F409" s="4"/>
      <c r="G409" s="4"/>
      <c r="H409" s="4">
        <v>2.9</v>
      </c>
      <c r="I409" s="2" t="s">
        <v>420</v>
      </c>
      <c r="J409" s="4">
        <v>0.6</v>
      </c>
      <c r="K409" s="2" t="s">
        <v>421</v>
      </c>
      <c r="L409" s="2" t="s">
        <v>247</v>
      </c>
      <c r="M409" s="104" t="s">
        <v>988</v>
      </c>
    </row>
    <row r="410" spans="3:13">
      <c r="C410" s="2" t="s">
        <v>989</v>
      </c>
      <c r="D410" s="2" t="s">
        <v>990</v>
      </c>
      <c r="E410" s="4">
        <v>4.2</v>
      </c>
      <c r="F410" s="4"/>
      <c r="G410" s="4"/>
      <c r="H410" s="4">
        <v>4.38</v>
      </c>
      <c r="I410" s="2" t="s">
        <v>420</v>
      </c>
      <c r="J410" s="4">
        <v>3.81</v>
      </c>
      <c r="K410" s="2" t="s">
        <v>421</v>
      </c>
      <c r="L410" s="2" t="s">
        <v>247</v>
      </c>
      <c r="M410" s="104" t="s">
        <v>991</v>
      </c>
    </row>
    <row r="411" spans="3:13">
      <c r="C411" s="2" t="s">
        <v>992</v>
      </c>
      <c r="D411" s="2" t="s">
        <v>993</v>
      </c>
      <c r="E411" s="4">
        <v>2.13</v>
      </c>
      <c r="F411" s="4"/>
      <c r="G411" s="4"/>
      <c r="H411" s="4">
        <v>2.2000000000000002</v>
      </c>
      <c r="I411" s="2" t="s">
        <v>420</v>
      </c>
      <c r="J411" s="4">
        <v>1.8</v>
      </c>
      <c r="K411" s="2" t="s">
        <v>421</v>
      </c>
      <c r="L411" s="2" t="s">
        <v>247</v>
      </c>
      <c r="M411" s="104" t="s">
        <v>994</v>
      </c>
    </row>
    <row r="412" spans="3:13">
      <c r="C412" s="2" t="s">
        <v>995</v>
      </c>
      <c r="D412" s="2" t="s">
        <v>996</v>
      </c>
      <c r="E412" s="4">
        <v>1.81</v>
      </c>
      <c r="F412" s="4"/>
      <c r="G412" s="4"/>
      <c r="H412" s="4">
        <v>1.86</v>
      </c>
      <c r="I412" s="2" t="s">
        <v>420</v>
      </c>
      <c r="J412" s="4">
        <v>1.18</v>
      </c>
      <c r="K412" s="2" t="s">
        <v>421</v>
      </c>
      <c r="L412" s="2" t="s">
        <v>247</v>
      </c>
      <c r="M412" s="104" t="s">
        <v>997</v>
      </c>
    </row>
    <row r="413" spans="3:13">
      <c r="C413" s="2" t="s">
        <v>998</v>
      </c>
      <c r="D413" s="2" t="s">
        <v>999</v>
      </c>
      <c r="E413" s="4">
        <v>1.75</v>
      </c>
      <c r="F413" s="4"/>
      <c r="G413" s="4"/>
      <c r="H413" s="4">
        <v>1.8</v>
      </c>
      <c r="I413" s="2" t="s">
        <v>420</v>
      </c>
      <c r="J413" s="4">
        <v>0.72</v>
      </c>
      <c r="K413" s="2" t="s">
        <v>421</v>
      </c>
      <c r="L413" s="2" t="s">
        <v>247</v>
      </c>
      <c r="M413" s="104" t="s">
        <v>1000</v>
      </c>
    </row>
    <row r="414" spans="3:13">
      <c r="C414" s="2" t="s">
        <v>1001</v>
      </c>
      <c r="D414" s="2" t="s">
        <v>1001</v>
      </c>
      <c r="E414" s="4"/>
      <c r="F414" s="4"/>
      <c r="G414" s="4"/>
      <c r="H414" s="4">
        <v>0.25</v>
      </c>
      <c r="I414" s="2" t="s">
        <v>420</v>
      </c>
      <c r="J414" s="4">
        <v>3.3</v>
      </c>
      <c r="K414" s="2" t="s">
        <v>421</v>
      </c>
      <c r="L414" s="2" t="s">
        <v>247</v>
      </c>
      <c r="M414" s="45" t="s">
        <v>1002</v>
      </c>
    </row>
    <row r="415" spans="3:13" ht="22">
      <c r="C415" s="2" t="s">
        <v>1003</v>
      </c>
      <c r="D415" s="2" t="s">
        <v>1003</v>
      </c>
      <c r="H415" s="4">
        <v>6.9</v>
      </c>
      <c r="I415" s="2" t="s">
        <v>420</v>
      </c>
      <c r="L415" s="507" t="s">
        <v>247</v>
      </c>
      <c r="M415" s="46" t="s">
        <v>506</v>
      </c>
    </row>
    <row r="416" spans="3:13">
      <c r="C416" s="2" t="s">
        <v>1004</v>
      </c>
      <c r="D416" s="2" t="s">
        <v>1004</v>
      </c>
      <c r="E416" s="4"/>
      <c r="F416" s="4"/>
      <c r="G416" s="4"/>
      <c r="H416" s="4">
        <v>0.46100000000000002</v>
      </c>
      <c r="I416" s="2" t="s">
        <v>420</v>
      </c>
      <c r="J416" s="4"/>
      <c r="L416" s="2" t="s">
        <v>247</v>
      </c>
      <c r="M416" s="45" t="s">
        <v>1005</v>
      </c>
    </row>
    <row r="417" spans="3:13" ht="22">
      <c r="C417" s="2" t="s">
        <v>1006</v>
      </c>
      <c r="D417" s="2" t="s">
        <v>1006</v>
      </c>
      <c r="H417" s="4">
        <v>2.5</v>
      </c>
      <c r="I417" s="2" t="s">
        <v>420</v>
      </c>
      <c r="L417" s="507" t="s">
        <v>247</v>
      </c>
      <c r="M417" s="46" t="s">
        <v>506</v>
      </c>
    </row>
    <row r="418" spans="3:13" ht="22">
      <c r="C418" s="2" t="s">
        <v>1007</v>
      </c>
      <c r="D418" s="2" t="s">
        <v>1007</v>
      </c>
      <c r="H418" s="4">
        <v>2654</v>
      </c>
      <c r="I418" s="2" t="s">
        <v>420</v>
      </c>
      <c r="L418" s="2" t="s">
        <v>505</v>
      </c>
      <c r="M418" s="46" t="s">
        <v>506</v>
      </c>
    </row>
    <row r="419" spans="3:13">
      <c r="C419" s="2" t="s">
        <v>1008</v>
      </c>
      <c r="D419" s="2" t="s">
        <v>1009</v>
      </c>
      <c r="E419" s="4"/>
      <c r="F419" s="4"/>
      <c r="G419" s="4"/>
      <c r="H419" s="4">
        <v>1.87</v>
      </c>
      <c r="I419" s="2" t="s">
        <v>420</v>
      </c>
      <c r="J419" s="4">
        <v>22.85</v>
      </c>
      <c r="K419" s="2" t="s">
        <v>421</v>
      </c>
      <c r="L419" s="2" t="s">
        <v>247</v>
      </c>
      <c r="M419" s="45" t="s">
        <v>1010</v>
      </c>
    </row>
    <row r="420" spans="3:13" ht="22">
      <c r="C420" s="2" t="s">
        <v>1011</v>
      </c>
      <c r="D420" s="2" t="s">
        <v>1012</v>
      </c>
      <c r="E420" s="4"/>
      <c r="F420" s="4"/>
      <c r="G420" s="4"/>
      <c r="H420" s="4">
        <v>1.5</v>
      </c>
      <c r="I420" s="2" t="s">
        <v>420</v>
      </c>
      <c r="J420" s="4">
        <v>20.100000000000001</v>
      </c>
      <c r="K420" s="2" t="s">
        <v>421</v>
      </c>
      <c r="L420" s="2" t="s">
        <v>247</v>
      </c>
      <c r="M420" s="45" t="s">
        <v>1013</v>
      </c>
    </row>
    <row r="421" spans="3:13" ht="43">
      <c r="C421" s="2" t="s">
        <v>1014</v>
      </c>
      <c r="D421" s="2" t="s">
        <v>1015</v>
      </c>
      <c r="E421" s="4"/>
      <c r="F421" s="4"/>
      <c r="G421" s="4"/>
      <c r="H421" s="4">
        <v>1.87</v>
      </c>
      <c r="I421" s="2" t="s">
        <v>420</v>
      </c>
      <c r="J421" s="4">
        <v>26.3</v>
      </c>
      <c r="K421" s="2" t="s">
        <v>421</v>
      </c>
      <c r="L421" s="2" t="s">
        <v>247</v>
      </c>
      <c r="M421" s="45" t="s">
        <v>1016</v>
      </c>
    </row>
    <row r="422" spans="3:13">
      <c r="C422" s="2" t="s">
        <v>1017</v>
      </c>
      <c r="D422" s="2" t="s">
        <v>1018</v>
      </c>
      <c r="E422" s="4"/>
      <c r="F422" s="4"/>
      <c r="G422" s="4"/>
      <c r="H422" s="4">
        <v>1.03</v>
      </c>
      <c r="I422" s="2" t="s">
        <v>420</v>
      </c>
      <c r="J422" s="4">
        <v>10.63</v>
      </c>
      <c r="K422" s="2" t="s">
        <v>421</v>
      </c>
      <c r="L422" s="2" t="s">
        <v>247</v>
      </c>
      <c r="M422" s="45" t="s">
        <v>1019</v>
      </c>
    </row>
    <row r="423" spans="3:13" ht="43">
      <c r="C423" s="2" t="s">
        <v>1020</v>
      </c>
      <c r="D423" s="2" t="s">
        <v>1021</v>
      </c>
      <c r="E423" s="4"/>
      <c r="F423" s="4"/>
      <c r="G423" s="4"/>
      <c r="H423" s="4">
        <v>1.43</v>
      </c>
      <c r="I423" s="2" t="s">
        <v>420</v>
      </c>
      <c r="J423" s="4">
        <v>14.68</v>
      </c>
      <c r="K423" s="2" t="s">
        <v>421</v>
      </c>
      <c r="L423" s="2" t="s">
        <v>247</v>
      </c>
      <c r="M423" s="45" t="s">
        <v>1022</v>
      </c>
    </row>
    <row r="424" spans="3:13">
      <c r="C424" s="2" t="s">
        <v>1023</v>
      </c>
      <c r="D424" s="2" t="s">
        <v>1023</v>
      </c>
      <c r="E424" s="4"/>
      <c r="F424" s="4"/>
      <c r="G424" s="4"/>
      <c r="H424" s="4">
        <v>0.35199999999999998</v>
      </c>
      <c r="I424" s="2" t="s">
        <v>420</v>
      </c>
      <c r="J424" s="4"/>
      <c r="L424" s="2" t="s">
        <v>247</v>
      </c>
      <c r="M424" s="45" t="s">
        <v>1024</v>
      </c>
    </row>
    <row r="425" spans="3:13">
      <c r="C425" s="2" t="s">
        <v>1025</v>
      </c>
      <c r="D425" s="2" t="s">
        <v>1026</v>
      </c>
      <c r="E425" s="4"/>
      <c r="F425" s="4"/>
      <c r="G425" s="4"/>
      <c r="H425" s="4">
        <v>0.19900000000000001</v>
      </c>
      <c r="I425" s="2" t="s">
        <v>420</v>
      </c>
      <c r="J425" s="4"/>
      <c r="L425" s="2" t="s">
        <v>247</v>
      </c>
      <c r="M425" s="45" t="s">
        <v>1027</v>
      </c>
    </row>
    <row r="426" spans="3:13">
      <c r="C426" s="2" t="s">
        <v>1028</v>
      </c>
      <c r="D426" s="2" t="s">
        <v>1029</v>
      </c>
      <c r="E426" s="4"/>
      <c r="F426" s="4"/>
      <c r="G426" s="4"/>
      <c r="H426" s="4">
        <v>4.4800000000000004</v>
      </c>
      <c r="I426" s="2" t="s">
        <v>420</v>
      </c>
      <c r="J426" s="4">
        <v>92</v>
      </c>
      <c r="K426" s="2" t="s">
        <v>421</v>
      </c>
      <c r="L426" s="2" t="s">
        <v>247</v>
      </c>
      <c r="M426" s="45" t="s">
        <v>1030</v>
      </c>
    </row>
    <row r="427" spans="3:13" ht="22">
      <c r="C427" s="2" t="s">
        <v>1031</v>
      </c>
      <c r="D427" s="2" t="s">
        <v>1032</v>
      </c>
      <c r="E427" s="4"/>
      <c r="F427" s="4"/>
      <c r="G427" s="4"/>
      <c r="H427" s="4">
        <v>2.66</v>
      </c>
      <c r="I427" s="2" t="s">
        <v>420</v>
      </c>
      <c r="J427" s="4">
        <v>91.27</v>
      </c>
      <c r="K427" s="2" t="s">
        <v>421</v>
      </c>
      <c r="L427" s="2" t="s">
        <v>247</v>
      </c>
      <c r="M427" s="45" t="s">
        <v>1033</v>
      </c>
    </row>
    <row r="428" spans="3:13" ht="32.5">
      <c r="C428" s="2" t="s">
        <v>1034</v>
      </c>
      <c r="D428" s="2" t="s">
        <v>1034</v>
      </c>
      <c r="E428" s="4"/>
      <c r="F428" s="4"/>
      <c r="G428" s="4"/>
      <c r="H428" s="4">
        <v>2.1899999999999999E-2</v>
      </c>
      <c r="I428" s="2" t="s">
        <v>420</v>
      </c>
      <c r="J428" s="4">
        <v>3772</v>
      </c>
      <c r="K428" s="2" t="s">
        <v>421</v>
      </c>
      <c r="L428" s="2" t="s">
        <v>247</v>
      </c>
      <c r="M428" s="45" t="s">
        <v>433</v>
      </c>
    </row>
    <row r="429" spans="3:13">
      <c r="C429" s="2" t="s">
        <v>1035</v>
      </c>
      <c r="D429" s="507" t="s">
        <v>1036</v>
      </c>
      <c r="H429" s="4">
        <v>3.9</v>
      </c>
      <c r="I429" s="2" t="s">
        <v>420</v>
      </c>
      <c r="L429" s="507" t="s">
        <v>505</v>
      </c>
      <c r="M429" s="46" t="s">
        <v>508</v>
      </c>
    </row>
    <row r="430" spans="3:13" ht="22">
      <c r="C430" s="2" t="s">
        <v>1037</v>
      </c>
      <c r="D430" s="2" t="s">
        <v>1037</v>
      </c>
      <c r="H430" s="4">
        <v>377</v>
      </c>
      <c r="I430" s="2" t="s">
        <v>420</v>
      </c>
      <c r="L430" s="2" t="s">
        <v>505</v>
      </c>
      <c r="M430" s="46" t="s">
        <v>506</v>
      </c>
    </row>
    <row r="431" spans="3:13">
      <c r="C431" s="2" t="s">
        <v>1038</v>
      </c>
      <c r="D431" s="2" t="s">
        <v>1039</v>
      </c>
      <c r="E431" s="4"/>
      <c r="F431" s="4"/>
      <c r="G431" s="4"/>
      <c r="H431" s="4">
        <v>0.28000000000000003</v>
      </c>
      <c r="I431" s="2" t="s">
        <v>420</v>
      </c>
      <c r="J431" s="4">
        <v>42.7</v>
      </c>
      <c r="K431" s="2" t="s">
        <v>421</v>
      </c>
      <c r="L431" s="2" t="s">
        <v>247</v>
      </c>
      <c r="M431" s="45" t="s">
        <v>1040</v>
      </c>
    </row>
    <row r="432" spans="3:13" ht="32.5">
      <c r="C432" s="2" t="s">
        <v>1041</v>
      </c>
      <c r="D432" s="2" t="s">
        <v>1042</v>
      </c>
      <c r="E432" s="4"/>
      <c r="F432" s="4"/>
      <c r="G432" s="4"/>
      <c r="H432" s="4">
        <v>4.5</v>
      </c>
      <c r="I432" s="2" t="s">
        <v>420</v>
      </c>
      <c r="J432" s="4">
        <v>76.400000000000006</v>
      </c>
      <c r="K432" s="2" t="s">
        <v>421</v>
      </c>
      <c r="L432" s="2" t="s">
        <v>247</v>
      </c>
      <c r="M432" s="45" t="s">
        <v>1043</v>
      </c>
    </row>
    <row r="433" spans="3:13">
      <c r="C433" s="47" t="s">
        <v>1044</v>
      </c>
      <c r="D433" s="47" t="s">
        <v>1045</v>
      </c>
      <c r="E433" s="107">
        <v>2.2000000000000002</v>
      </c>
      <c r="F433" s="107"/>
      <c r="G433" s="107"/>
      <c r="H433" s="107">
        <v>2.42</v>
      </c>
      <c r="I433" s="2" t="s">
        <v>420</v>
      </c>
      <c r="J433" s="107"/>
      <c r="K433" s="47"/>
      <c r="L433" s="47" t="s">
        <v>247</v>
      </c>
      <c r="M433" s="104" t="s">
        <v>1046</v>
      </c>
    </row>
    <row r="434" spans="3:13">
      <c r="C434" s="47" t="s">
        <v>1047</v>
      </c>
      <c r="D434" s="47" t="s">
        <v>1047</v>
      </c>
      <c r="E434" s="107">
        <v>1.52</v>
      </c>
      <c r="F434" s="107"/>
      <c r="G434" s="107"/>
      <c r="H434" s="107">
        <v>1.68</v>
      </c>
      <c r="I434" s="47" t="s">
        <v>420</v>
      </c>
      <c r="J434" s="107"/>
      <c r="K434" s="47"/>
      <c r="L434" s="47" t="s">
        <v>247</v>
      </c>
      <c r="M434" s="106" t="s">
        <v>1048</v>
      </c>
    </row>
    <row r="435" spans="3:13" ht="22">
      <c r="C435" s="2" t="s">
        <v>1049</v>
      </c>
      <c r="D435" s="2" t="s">
        <v>1049</v>
      </c>
      <c r="H435" s="4">
        <v>1335</v>
      </c>
      <c r="I435" s="2" t="s">
        <v>420</v>
      </c>
      <c r="L435" s="2" t="s">
        <v>505</v>
      </c>
      <c r="M435" s="46" t="s">
        <v>506</v>
      </c>
    </row>
    <row r="436" spans="3:13" ht="22">
      <c r="C436" s="2" t="s">
        <v>1050</v>
      </c>
      <c r="D436" s="2" t="s">
        <v>1050</v>
      </c>
      <c r="H436" s="4">
        <v>2688</v>
      </c>
      <c r="I436" s="2" t="s">
        <v>420</v>
      </c>
      <c r="L436" s="2" t="s">
        <v>505</v>
      </c>
      <c r="M436" s="46" t="s">
        <v>506</v>
      </c>
    </row>
    <row r="437" spans="3:13" ht="22">
      <c r="C437" s="2" t="s">
        <v>1051</v>
      </c>
      <c r="D437" s="2" t="s">
        <v>1052</v>
      </c>
      <c r="E437" s="4"/>
      <c r="F437" s="4"/>
      <c r="G437" s="4"/>
      <c r="H437" s="4">
        <v>3.38</v>
      </c>
      <c r="I437" s="2" t="s">
        <v>420</v>
      </c>
      <c r="J437" s="4">
        <v>89.6</v>
      </c>
      <c r="K437" s="2" t="s">
        <v>421</v>
      </c>
      <c r="L437" s="2" t="s">
        <v>247</v>
      </c>
      <c r="M437" s="45" t="s">
        <v>487</v>
      </c>
    </row>
    <row r="438" spans="3:13">
      <c r="C438" s="2" t="s">
        <v>1053</v>
      </c>
      <c r="D438" s="2" t="s">
        <v>1053</v>
      </c>
      <c r="E438" s="4">
        <v>0.91</v>
      </c>
      <c r="F438" s="4"/>
      <c r="G438" s="4"/>
      <c r="H438" s="4">
        <v>0.92700000000000005</v>
      </c>
      <c r="I438" s="2" t="s">
        <v>420</v>
      </c>
      <c r="J438" s="4">
        <v>0.32500000000000001</v>
      </c>
      <c r="K438" s="2" t="s">
        <v>421</v>
      </c>
      <c r="L438" s="2" t="s">
        <v>247</v>
      </c>
      <c r="M438" s="104" t="s">
        <v>1054</v>
      </c>
    </row>
    <row r="439" spans="3:13" ht="22">
      <c r="C439" s="2" t="s">
        <v>1055</v>
      </c>
      <c r="D439" s="2" t="s">
        <v>1056</v>
      </c>
      <c r="E439" s="4"/>
      <c r="F439" s="4"/>
      <c r="G439" s="4"/>
      <c r="H439" s="4">
        <v>0.88</v>
      </c>
      <c r="I439" s="2" t="s">
        <v>420</v>
      </c>
      <c r="J439" s="4">
        <v>4.33</v>
      </c>
      <c r="K439" s="2" t="s">
        <v>421</v>
      </c>
      <c r="L439" s="2" t="s">
        <v>247</v>
      </c>
      <c r="M439" s="45" t="s">
        <v>1057</v>
      </c>
    </row>
    <row r="440" spans="3:13">
      <c r="C440" s="2" t="s">
        <v>1058</v>
      </c>
      <c r="D440" s="2" t="s">
        <v>1059</v>
      </c>
      <c r="E440" s="4"/>
      <c r="F440" s="4"/>
      <c r="G440" s="4"/>
      <c r="H440" s="4">
        <v>0.7</v>
      </c>
      <c r="I440" s="2" t="s">
        <v>420</v>
      </c>
      <c r="J440" s="4">
        <v>2.78</v>
      </c>
      <c r="K440" s="2" t="s">
        <v>421</v>
      </c>
      <c r="L440" s="2" t="s">
        <v>247</v>
      </c>
      <c r="M440" s="45" t="s">
        <v>1060</v>
      </c>
    </row>
    <row r="441" spans="3:13" ht="22">
      <c r="C441" s="2" t="s">
        <v>1061</v>
      </c>
      <c r="D441" s="2" t="s">
        <v>1061</v>
      </c>
      <c r="E441" s="4"/>
      <c r="F441" s="4"/>
      <c r="G441" s="4"/>
      <c r="H441" s="4">
        <v>1.0900000000000001</v>
      </c>
      <c r="I441" s="2" t="s">
        <v>420</v>
      </c>
      <c r="J441" s="4">
        <v>10.4</v>
      </c>
      <c r="K441" s="2" t="s">
        <v>421</v>
      </c>
      <c r="L441" s="2" t="s">
        <v>247</v>
      </c>
      <c r="M441" s="45" t="s">
        <v>1062</v>
      </c>
    </row>
    <row r="442" spans="3:13">
      <c r="C442" s="47" t="s">
        <v>1063</v>
      </c>
      <c r="D442" s="47" t="s">
        <v>1064</v>
      </c>
      <c r="E442" s="107">
        <v>3.98</v>
      </c>
      <c r="F442" s="107"/>
      <c r="G442" s="107"/>
      <c r="H442" s="107">
        <v>4.49</v>
      </c>
      <c r="I442" s="47" t="s">
        <v>420</v>
      </c>
      <c r="J442" s="107"/>
      <c r="K442" s="47"/>
      <c r="L442" s="47" t="s">
        <v>247</v>
      </c>
      <c r="M442" s="104" t="s">
        <v>1065</v>
      </c>
    </row>
    <row r="443" spans="3:13">
      <c r="C443" s="7"/>
      <c r="D443" s="7"/>
      <c r="E443" s="7"/>
      <c r="F443" s="7"/>
    </row>
    <row r="444" spans="3:13">
      <c r="C444" s="547" t="s">
        <v>1066</v>
      </c>
      <c r="D444" s="99"/>
      <c r="E444" s="99"/>
      <c r="F444" s="99"/>
      <c r="G444" s="99"/>
      <c r="H444" s="99"/>
      <c r="I444" s="99"/>
      <c r="J444" s="99"/>
      <c r="K444" s="99"/>
      <c r="L444" s="99"/>
      <c r="M444" s="100"/>
    </row>
    <row r="445" spans="3:13">
      <c r="C445" s="547" t="s">
        <v>1066</v>
      </c>
      <c r="D445" s="99"/>
      <c r="E445" s="99"/>
      <c r="F445" s="99"/>
      <c r="G445" s="99"/>
      <c r="H445" s="99"/>
      <c r="I445" s="99"/>
      <c r="J445" s="99"/>
      <c r="K445" s="99"/>
      <c r="L445" s="99"/>
      <c r="M445" s="100"/>
    </row>
    <row r="446" spans="3:13">
      <c r="C446" s="547" t="s">
        <v>1066</v>
      </c>
      <c r="D446" s="99"/>
      <c r="E446" s="99"/>
      <c r="F446" s="99"/>
      <c r="G446" s="99"/>
      <c r="H446" s="99"/>
      <c r="I446" s="99"/>
      <c r="J446" s="99"/>
      <c r="K446" s="99"/>
      <c r="L446" s="99"/>
      <c r="M446" s="100"/>
    </row>
    <row r="447" spans="3:13">
      <c r="C447" s="547" t="s">
        <v>1066</v>
      </c>
      <c r="D447" s="99"/>
      <c r="E447" s="99"/>
      <c r="F447" s="99"/>
      <c r="G447" s="99"/>
      <c r="H447" s="99"/>
      <c r="I447" s="99"/>
      <c r="J447" s="99"/>
      <c r="K447" s="99"/>
      <c r="L447" s="99"/>
      <c r="M447" s="100"/>
    </row>
    <row r="448" spans="3:13">
      <c r="C448" s="547" t="s">
        <v>1066</v>
      </c>
      <c r="D448" s="99"/>
      <c r="E448" s="99"/>
      <c r="F448" s="99"/>
      <c r="G448" s="99"/>
      <c r="H448" s="99"/>
      <c r="I448" s="99"/>
      <c r="J448" s="99"/>
      <c r="K448" s="99"/>
      <c r="L448" s="99"/>
      <c r="M448" s="100"/>
    </row>
    <row r="449" spans="3:13">
      <c r="C449" s="547" t="s">
        <v>1066</v>
      </c>
      <c r="D449" s="99"/>
      <c r="E449" s="99"/>
      <c r="F449" s="99"/>
      <c r="G449" s="99"/>
      <c r="H449" s="99"/>
      <c r="I449" s="99"/>
      <c r="J449" s="99"/>
      <c r="K449" s="99"/>
      <c r="L449" s="99"/>
      <c r="M449" s="100"/>
    </row>
    <row r="450" spans="3:13">
      <c r="C450" s="547" t="s">
        <v>1066</v>
      </c>
      <c r="D450" s="99"/>
      <c r="E450" s="99"/>
      <c r="F450" s="99"/>
      <c r="G450" s="99"/>
      <c r="H450" s="99"/>
      <c r="I450" s="99"/>
      <c r="J450" s="99"/>
      <c r="K450" s="99"/>
      <c r="L450" s="99"/>
      <c r="M450" s="100"/>
    </row>
    <row r="451" spans="3:13">
      <c r="C451" s="547" t="s">
        <v>1066</v>
      </c>
      <c r="D451" s="99"/>
      <c r="E451" s="99"/>
      <c r="F451" s="99"/>
      <c r="G451" s="99"/>
      <c r="H451" s="99"/>
      <c r="I451" s="99"/>
      <c r="J451" s="99"/>
      <c r="K451" s="99"/>
      <c r="L451" s="99"/>
      <c r="M451" s="100"/>
    </row>
    <row r="452" spans="3:13">
      <c r="C452" s="547" t="s">
        <v>1066</v>
      </c>
      <c r="D452" s="99"/>
      <c r="E452" s="99"/>
      <c r="F452" s="99"/>
      <c r="G452" s="99"/>
      <c r="H452" s="99"/>
      <c r="I452" s="99"/>
      <c r="J452" s="99"/>
      <c r="K452" s="99"/>
      <c r="L452" s="99"/>
      <c r="M452" s="100"/>
    </row>
    <row r="453" spans="3:13">
      <c r="C453" s="547" t="s">
        <v>1066</v>
      </c>
      <c r="D453" s="99"/>
      <c r="E453" s="99"/>
      <c r="F453" s="99"/>
      <c r="G453" s="99"/>
      <c r="H453" s="99"/>
      <c r="I453" s="99"/>
      <c r="J453" s="99"/>
      <c r="K453" s="99"/>
      <c r="L453" s="99"/>
      <c r="M453" s="100"/>
    </row>
  </sheetData>
  <sortState xmlns:xlrd2="http://schemas.microsoft.com/office/spreadsheetml/2017/richdata2" ref="C4:M91">
    <sortCondition ref="D4:D91"/>
  </sortState>
  <phoneticPr fontId="34" type="noConversion"/>
  <hyperlinks>
    <hyperlink ref="M395" r:id="rId1" display="https://www.winnipeg.ca/finance/findata/matmgt/documents/2012/682-2012/682-2012_Appendix_H-WSTP_South_End_Plant_Process_Selection_Report/Appendix 7.pdf" xr:uid="{00000000-0004-0000-0E00-000000000000}"/>
    <hyperlink ref="M18" r:id="rId2" xr:uid="{00000000-0004-0000-0E00-000001000000}"/>
    <hyperlink ref="M305" r:id="rId3" xr:uid="{00000000-0004-0000-0E00-000002000000}"/>
    <hyperlink ref="M384" r:id="rId4" xr:uid="{00000000-0004-0000-0E00-000003000000}"/>
    <hyperlink ref="M331" r:id="rId5" xr:uid="{00000000-0004-0000-0E00-000004000000}"/>
    <hyperlink ref="M301" r:id="rId6" display="https://de.statista.com/statistik/daten/studie/1074324/umfrage/zusammensetzung-der-co2-emissionen-bei-der-herstellung-von-e-autobatterien" xr:uid="{00000000-0004-0000-0E00-000005000000}"/>
    <hyperlink ref="M401" r:id="rId7" xr:uid="{00000000-0004-0000-0E00-000006000000}"/>
    <hyperlink ref="M400" r:id="rId8" xr:uid="{00000000-0004-0000-0E00-000007000000}"/>
    <hyperlink ref="M337" r:id="rId9" display="https://www.klimatarier.com/de/CO2_Rechner" xr:uid="{DA487A29-C72B-40E7-AC96-FE2F912905ED}"/>
    <hyperlink ref="M381" r:id="rId10" display="https://www.klimatarier.com/de/CO2_Rechner" xr:uid="{C65AF548-A45D-4BD4-83F6-AB6FB80AC256}"/>
    <hyperlink ref="M311" r:id="rId11" display="https://www.klimatarier.com/de/CO2_Rechner" xr:uid="{B9285C6D-489E-4572-9AF5-6C079ECD9F7C}"/>
    <hyperlink ref="M316" r:id="rId12" display="https://www.klimatarier.com/de/CO2_Rechner" xr:uid="{E3B83483-9E79-4BAC-A1BB-43477A000792}"/>
    <hyperlink ref="M326" r:id="rId13" display="https://www.klimatarier.com/de/CO2_Rechner" xr:uid="{D4DBED10-206A-4F0F-BF47-349BD372D068}"/>
    <hyperlink ref="M332" r:id="rId14" display="https://www.klimatarier.com/de/CO2_Rechner" xr:uid="{7567039C-D245-445D-A38A-747121E9B9A3}"/>
    <hyperlink ref="M335" r:id="rId15" display="https://www.klimatarier.com/de/CO2_Rechner" xr:uid="{BD258D02-C6EC-4F32-A4DF-17FBEC5D222E}"/>
    <hyperlink ref="M351" r:id="rId16" display="https://www.klimatarier.com/de/CO2_Rechner" xr:uid="{9A517BDE-F357-4290-99DE-5307913BDCCD}"/>
    <hyperlink ref="M358" r:id="rId17" display="https://www.klimatarier.com/de/CO2_Rechner" xr:uid="{222FDE82-6EA6-4950-A7B4-1D9909ADFE1B}"/>
    <hyperlink ref="M393" r:id="rId18" display="https://www.klimatarier.com/de/CO2_Rechner" xr:uid="{87F94003-1F5B-4C20-8FEB-44F82AD5BE68}"/>
    <hyperlink ref="M313" r:id="rId19" display="https://www.klimatarier.com/de/CO2_Rechner" xr:uid="{2E1748A1-3BFF-48F8-BE94-CB9964085AF5}"/>
    <hyperlink ref="M391" r:id="rId20" display="https://www.klimatarier.com/de/CO2_Rechner" xr:uid="{120E3093-8FB1-4D3B-8A15-941E34376452}"/>
    <hyperlink ref="M390" r:id="rId21" display="https://www.klimatarier.com/de/CO2_Rechner" xr:uid="{BAF05EDE-D1E9-4F77-944F-C348941373FA}"/>
    <hyperlink ref="M388" r:id="rId22" display="https://www.klimatarier.com/de/CO2_Rechner" xr:uid="{81C0C268-451E-471F-AB89-486834DCF6DF}"/>
    <hyperlink ref="M386" r:id="rId23" display="https://www.klimatarier.com/de/CO2_Rechner" xr:uid="{2FA1D3CF-D00F-44FC-A7D8-7BF7AFD6A43F}"/>
    <hyperlink ref="M385" r:id="rId24" display="https://www.klimatarier.com/de/CO2_Rechner" xr:uid="{82852108-2792-410A-8FF2-78E966D9DD57}"/>
    <hyperlink ref="M383" r:id="rId25" display="https://www.klimatarier.com/de/CO2_Rechner" xr:uid="{B46EF4D2-B940-409A-9AD2-52F8C6B12A25}"/>
    <hyperlink ref="M382" r:id="rId26" display="https://www.klimatarier.com/de/CO2_Rechner" xr:uid="{A5F1A1AC-591E-4AAE-A84D-E7F48A13E75D}"/>
    <hyperlink ref="M379" r:id="rId27" display="https://www.klimatarier.com/de/CO2_Rechner" xr:uid="{78C179E6-2139-4702-8D43-DEB7563D0AE5}"/>
    <hyperlink ref="M371" r:id="rId28" display="https://www.klimatarier.com/de/CO2_Rechner" xr:uid="{9D24E02D-5D75-4E30-8F4A-F1FF82A2A341}"/>
    <hyperlink ref="M370" r:id="rId29" display="https://www.klimatarier.com/de/CO2_Rechner" xr:uid="{C7A5FFF3-F0EE-4669-842A-BB296D42426C}"/>
    <hyperlink ref="M369" r:id="rId30" display="https://www.klimatarier.com/de/CO2_Rechner" xr:uid="{EF1F6FE5-A46D-4314-9F90-BC72CDA209C0}"/>
    <hyperlink ref="M368" r:id="rId31" display="https://www.klimatarier.com/de/CO2_Rechner" xr:uid="{E88C8ECE-90D3-4D3D-A894-4AA103F09F90}"/>
    <hyperlink ref="M366" r:id="rId32" display="https://www.klimatarier.com/de/CO2_Rechner" xr:uid="{540A5AA1-D31F-464B-9B8D-3132F5C6E9B6}"/>
    <hyperlink ref="M323" r:id="rId33" display="https://www.klimatarier.com/de/CO2_Rechner" xr:uid="{6526411F-61B5-4AF3-B94B-81AC0344465D}"/>
    <hyperlink ref="M324" r:id="rId34" display="https://www.klimatarier.com/de/CO2_Rechner" xr:uid="{C222444B-155D-4887-91A8-695836DD1F93}"/>
    <hyperlink ref="M389" r:id="rId35" display="https://www.klimatarier.com/de/CO2_Rechner" xr:uid="{5AEA99BA-AB5F-44CD-847F-91FDB3346A35}"/>
    <hyperlink ref="M315" r:id="rId36" display="https://www.klimatarier.com/de/CO2_Rechner" xr:uid="{9D48035C-EAFA-48DF-A20C-AAC876366F4C}"/>
    <hyperlink ref="M314" r:id="rId37" display="https://www.klimatarier.com/de/CO2_Rechner" xr:uid="{79E7CA87-8F14-48FA-ABD8-B60B72BE7102}"/>
    <hyperlink ref="M376" r:id="rId38" display="https://www.klimatarier.com/de/CO2_Rechner" xr:uid="{5F92CCEB-4E37-4451-8F6C-8EDD55502266}"/>
    <hyperlink ref="M303" r:id="rId39" display="https://www.klimatarier.com/de/CO2_Rechner" xr:uid="{0F9FF996-C819-4E6D-BC11-7F7D74A83C0D}"/>
    <hyperlink ref="M304" r:id="rId40" display="https://www.klimatarier.com/de/CO2_Rechner" xr:uid="{F8D9A086-0236-4A02-B3DD-35A253163AE6}"/>
    <hyperlink ref="M302" r:id="rId41" display="https://www.klimatarier.com/de/CO2_Rechner" xr:uid="{C849D395-D4A3-4E2D-8F22-E36534FAC9A2}"/>
    <hyperlink ref="M6" r:id="rId42" xr:uid="{4D329A43-7BD4-48FF-B885-546688AEF3A3}"/>
    <hyperlink ref="M312" r:id="rId43" xr:uid="{0B49EC82-D8A9-47EC-8E63-A13E57B0BE4D}"/>
    <hyperlink ref="M325" r:id="rId44" xr:uid="{2DCA9B68-4901-4C60-9301-E057B94F4C79}"/>
    <hyperlink ref="M319" r:id="rId45" xr:uid="{47C491C3-2D2D-4460-875D-B6506326DC04}"/>
    <hyperlink ref="M321" r:id="rId46" xr:uid="{F5A8A46D-BF5F-4DD2-9986-40D1CD1F1E44}"/>
    <hyperlink ref="M343" r:id="rId47" xr:uid="{297D585D-3B8D-4CFB-99A5-F28F14343B0D}"/>
    <hyperlink ref="M344" r:id="rId48" xr:uid="{1452A89F-C131-4F81-9E45-659535E4E748}"/>
    <hyperlink ref="M345" r:id="rId49" xr:uid="{9C6B32D9-37A5-4B28-AEE8-B94C5A8B82F2}"/>
    <hyperlink ref="M367" r:id="rId50" xr:uid="{DC22D0D7-44A7-4238-9AAA-9559A57F5D19}"/>
    <hyperlink ref="M378" r:id="rId51" xr:uid="{7FE60E0E-CDE7-4F63-8D1D-8C9EB48CCE55}"/>
    <hyperlink ref="M336" r:id="rId52" display="https://eatsmarter.de/lexikon/warenkunde/gewuerze/knoblauch" xr:uid="{3E7FDE8C-2856-409C-AF30-10CBCC372363}"/>
    <hyperlink ref="M349" r:id="rId53" display="https://eatsmarter.de/lexikon/warenkunde/gemuese/meerrettich" xr:uid="{3899FACF-3AC1-48F7-85E1-F9DB1DF99741}"/>
    <hyperlink ref="M339" r:id="rId54" display="https://eatsmarter.de/lexikon/warenkunde/gewuerze/koriander" xr:uid="{EB6CA5BE-2831-45B8-A2C2-EBD23DB28624}"/>
    <hyperlink ref="M347" r:id="rId55" display="https://eatsmarter.de/lexikon/warenkunde/obst/mandarinen" xr:uid="{8265B2B8-5D83-4605-996E-B078E8EFEEC1}"/>
    <hyperlink ref="M373" r:id="rId56" display="https://eatsmarter.de/lexikon/warenkunde/kohl/sauerkraut" xr:uid="{935059AA-4176-4D0C-A534-73983B6C2C93}"/>
    <hyperlink ref="M310" r:id="rId57" xr:uid="{82BDB710-D620-4D31-985C-C5A092135436}"/>
    <hyperlink ref="M330" r:id="rId58" display="https://www.klimatarier.com/de/CO2_Rechner" xr:uid="{6ED042C9-496A-4559-B266-D46F312E049D}"/>
    <hyperlink ref="M308" r:id="rId59" display="https://www.klimatarier.com/de/CO2_Rechner" xr:uid="{EC8EB3DC-47E6-4449-9CD1-5DA17247D642}"/>
    <hyperlink ref="M327" r:id="rId60" display="https://www.klimatarier.com/de/CO2_Rechner" xr:uid="{C657D29E-D3FC-43CC-93B0-034F0D0E9DC9}"/>
    <hyperlink ref="M338" r:id="rId61" display="https://www.klimatarier.com/de/CO2_Rechner" xr:uid="{8ABF4FCB-49C6-4E2C-A912-DB46E52291A4}"/>
    <hyperlink ref="M348" r:id="rId62" xr:uid="{AD673519-36EB-4759-9CD2-E135302915BC}"/>
    <hyperlink ref="M318" r:id="rId63" xr:uid="{F27BEFA4-2059-457A-8210-AFB292784161}"/>
    <hyperlink ref="M374" r:id="rId64" xr:uid="{D4A13AB4-3B90-4067-B9D8-1002D6755DBF}"/>
    <hyperlink ref="M375" r:id="rId65" xr:uid="{97954F79-1459-416F-BC68-7E9D75A54282}"/>
    <hyperlink ref="M307" r:id="rId66" display="https://www.klimatarier.com/de/CO2_Rechner" xr:uid="{139BB10D-B9E6-46E9-9B00-08AB42CF92D9}"/>
    <hyperlink ref="M346" r:id="rId67" xr:uid="{65D0831C-212A-46C5-82B9-ACC40FF76008}"/>
    <hyperlink ref="M353" r:id="rId68" xr:uid="{93E2B89B-DC0C-43BE-9E20-7AD6B378C010}"/>
    <hyperlink ref="M380" r:id="rId69" xr:uid="{77A0F5CE-FE9D-409E-BAE5-D547CCC2DB7F}"/>
    <hyperlink ref="M333" r:id="rId70" xr:uid="{75818316-10CC-4A66-A97C-2EB41CF3687A}"/>
    <hyperlink ref="M317" r:id="rId71" xr:uid="{E727DF9B-2A77-498E-B606-E5B2E019C511}"/>
    <hyperlink ref="M362" r:id="rId72" xr:uid="{1CDAB646-99B6-4583-B612-6FE3A2403FDE}"/>
    <hyperlink ref="M309" r:id="rId73" xr:uid="{E5B50FA8-8EC5-4883-AE66-EB3533614214}"/>
    <hyperlink ref="M306" r:id="rId74" xr:uid="{6C001D24-99A0-41E7-A251-1609397C4F3D}"/>
    <hyperlink ref="M354" r:id="rId75" xr:uid="{03DBF87E-9AFC-40A7-BB03-692312574939}"/>
    <hyperlink ref="M355" r:id="rId76" xr:uid="{E13BEF27-3DA7-4E18-9ED7-05BA89FE22B6}"/>
    <hyperlink ref="M328" r:id="rId77" display="https://www.klimatarier.com/de/CO2_Rechner" xr:uid="{E4C5A004-E8D5-4781-9006-3552D2544F64}"/>
    <hyperlink ref="M329" r:id="rId78" display="https://www.klimatarier.com/de/CO2_Rechner" xr:uid="{03E9A455-101F-4A5E-B4B9-36FC9552B9A3}"/>
    <hyperlink ref="M334" r:id="rId79" display="https://www.klimatarier.com/de/CO2_Rechner" xr:uid="{1618C0C2-EF6B-407C-91F0-4E4E0B595011}"/>
    <hyperlink ref="M341" r:id="rId80" display="https://www.klimatarier.com/de/CO2_Rechner" xr:uid="{3D936205-E41F-4B9A-98D2-95A4922CBF71}"/>
    <hyperlink ref="M342" r:id="rId81" display="https://www.klimatarier.com/de/CO2_Rechner" xr:uid="{B024D475-A296-4F6E-8352-5C3E170B2D5A}"/>
    <hyperlink ref="M350" r:id="rId82" display="https://www.klimatarier.com/de/CO2_Rechner" xr:uid="{83F545EE-D9D1-43B6-B659-D14E03070CA5}"/>
    <hyperlink ref="M357" r:id="rId83" display="https://www.klimatarier.com/de/CO2_Rechner" xr:uid="{C15E35F2-0A11-4025-BE93-6860608EAD17}"/>
    <hyperlink ref="M359" r:id="rId84" display="https://www.klimatarier.com/de/CO2_Rechner" xr:uid="{EB9C8EB3-D687-4084-B64D-5DB22CA64A5F}"/>
    <hyperlink ref="M360" r:id="rId85" display="https://www.klimatarier.com/de/CO2_Rechner" xr:uid="{811AED5F-E53C-4806-A891-3337A7A5A73A}"/>
    <hyperlink ref="M361" r:id="rId86" display="https://www.klimatarier.com/de/CO2_Rechner" xr:uid="{16235F73-C67D-4844-8E2F-ED3A78C28209}"/>
    <hyperlink ref="M365" r:id="rId87" display="https://www.klimatarier.com/de/CO2_Rechner" xr:uid="{B2D474BD-4802-4134-AE0A-313206090617}"/>
    <hyperlink ref="M340" r:id="rId88" display="https://www.klimatarier.com/de/CO2_Rechner" xr:uid="{F8EA2867-4873-46A2-8404-4718AB67C34A}"/>
    <hyperlink ref="M13" r:id="rId89" display="https://www.probas.umweltbundesamt.de/php/prozessdetails.php?id=%7bE22B8A45-BD70-4BF3-B114-96A0A798FB8C%7d" xr:uid="{919D7FF5-0B6A-4EA1-80CE-8ECFB4C030B3}"/>
    <hyperlink ref="M298" r:id="rId90" display="https://www.probas.umweltbundesamt.de/php/prozessdetails.php?id=%7b0A54E43A-373D-43DB-973B-7915BAFA8207%7d" xr:uid="{609F5634-1336-4A51-9627-927493841E77}"/>
    <hyperlink ref="M394" r:id="rId91" display="https://www.probas.umweltbundesamt.de/php/prozessdetails.php?id=%7bD9B2F188-A457-45C1-A863-65BA7800981D%7d" xr:uid="{C3566DFF-832A-4624-99AB-78DDFFA64E0B}"/>
    <hyperlink ref="M398" r:id="rId92" display="https://www.probas.umweltbundesamt.de/php/prozessdetails.php?id=%7b65C51F09-9F88-4D3C-8858-CFBCACF98D53%7d" xr:uid="{4C3E2135-7E4C-4F39-AC21-4640C1B73C84}"/>
    <hyperlink ref="M25" r:id="rId93" display="https://www.probas.umweltbundesamt.de/php/prozessdetails.php?id=%7bC9EB2BC2-D28C-488C-A118-7F5F9ACBD068%7d" xr:uid="{D2D4D88A-4FCD-491C-96F6-F248DF1E6B7D}"/>
    <hyperlink ref="M433" r:id="rId94" display="https://www.probas.umweltbundesamt.de/php/prozessdetails.php?id=%7b3E42D2A7-41F4-46D6-B82F-3D87E9DDAA89%7d" xr:uid="{AEF73075-4E14-4E32-94E2-15A3142D42BE}"/>
    <hyperlink ref="M20" r:id="rId95" display="https://www.probas.umweltbundesamt.de/php/prozessdetails.php?id=%7b4307FE50-7117-49E3-9D6F-E82A6F594516%7d" xr:uid="{E5C1CD10-975F-46A5-815D-435C6D40DCE3}"/>
    <hyperlink ref="M399" r:id="rId96" display="https://www.probas.umweltbundesamt.de/php/prozessdetails.php?id=%7bE608C47E-D3ED-4B69-AD43-9D90E9A76CDA%7d" xr:uid="{B97FD6C9-1192-44D1-B32B-7FAC3AB3F8D7}"/>
    <hyperlink ref="M434" r:id="rId97" display="https://www.probas.umweltbundesamt.de/php/prozessdetails.php?id=%7b01EEF595-E7E8-48C7-8553-67365C9265F0%7d" xr:uid="{1ACFF532-A166-4917-A0A6-9309C7A8F072}"/>
    <hyperlink ref="M442" r:id="rId98" display="https://www.probas.umweltbundesamt.de/php/prozessdetails.php?id=%7b330A9C89-A696-44BB-AB6F-370FFC9FF2BA%7d" xr:uid="{F5F18B30-D507-43A3-99C1-AAD274FCD8F4}"/>
    <hyperlink ref="M9" r:id="rId99" display="https://www.probas.umweltbundesamt.de/php/prozessdetails.php?id=%7bE92D71D6-3D2F-458A-804F-3C13D77C779D%7d" xr:uid="{EE5F7752-D7D7-4250-B1FA-45262F7AA91D}"/>
    <hyperlink ref="M23" r:id="rId100" display="https://www.probas.umweltbundesamt.de/php/prozessdetails.php?id=%7bFAAD1AF4-C087-4760-A5F6-1D80BC6C2B55%7d" xr:uid="{51A67D6A-502A-4DF1-BA97-CDF6F9E51B95}"/>
    <hyperlink ref="M405" r:id="rId101" display="https://www.probas.umweltbundesamt.de/php/prozessdetails.php?id=%7b17EE0594-3CF6-4901-8690-6019418504BE%7d" xr:uid="{345AF148-0029-4F0B-9E43-64C525139C5B}"/>
    <hyperlink ref="M406" r:id="rId102" display="https://www.probas.umweltbundesamt.de/php/prozessdetails.php?id=%7b48CFC911-59BE-4B9A-B1B0-41FE2AA152A8%7d" xr:uid="{AD32C204-34DE-4F58-8135-06D587FECF25}"/>
    <hyperlink ref="M408" r:id="rId103" display="https://www.probas.umweltbundesamt.de/php/prozessdetails.php?id=%7b109B44FC-3E16-4528-82FF-641E040D47DB%7d" xr:uid="{9F2E3A39-5E15-4BF8-AAD5-6869BE40A1AF}"/>
    <hyperlink ref="M407" r:id="rId104" display="https://www.probas.umweltbundesamt.de/php/prozessdetails.php?id=%7bEDEF8A1D-535D-46AE-BEC5-2C900DC09C2C%7d" xr:uid="{2ABD0FE9-6634-42BA-A602-6811814EED30}"/>
    <hyperlink ref="M409" r:id="rId105" display="https://www.probas.umweltbundesamt.de/php/prozessdetails.php?id=%7b27CF6CA2-7DAF-44AE-899E-8FD686A8966C%7d" xr:uid="{14317817-401B-4F0D-B0A9-089DA7B73185}"/>
    <hyperlink ref="M411" r:id="rId106" display="https://www.probas.umweltbundesamt.de/php/prozessdetails.php?id=%7bA8276F10-4E60-45C4-A7BA-5803FDD637C7%7d" xr:uid="{C5F20F29-5F38-4D2D-9BBF-407ABFC42460}"/>
    <hyperlink ref="M412" r:id="rId107" display="https://www.probas.umweltbundesamt.de/php/prozessdetails.php?id=%7b2E9ADEB4-20B2-4E89-A0CF-728D62C82E93%7d" xr:uid="{CD44AF5B-B309-40C0-BCE2-44B6A1E768FB}"/>
    <hyperlink ref="M413" r:id="rId108" display="https://www.probas.umweltbundesamt.de/php/prozessdetails.php?id=%7b4F44E475-53C0-41BD-9F5A-0359EA513586%7d" xr:uid="{94F38346-ACB3-43C8-93E4-C1BB860AA3FE}"/>
    <hyperlink ref="M21" r:id="rId109" display="https://www.probas.umweltbundesamt.de/php/prozessdetails.php?id=%7b5940E429-2731-4FA6-81D1-9D745EDDC8B3%7d" xr:uid="{C53EAACB-FBCB-4F0C-AAC1-ED82578433F4}"/>
    <hyperlink ref="M410" r:id="rId110" display="https://www.probas.umweltbundesamt.de/php/prozessdetails.php?id=%7b7D803D25-E3D0-406C-8A4E-C883F6FEB851%7d" xr:uid="{4A4B998C-80CD-46BC-9349-53196FFB75BC}"/>
    <hyperlink ref="M438" r:id="rId111" display="https://www.probas.umweltbundesamt.de/php/prozessdetails.php?id=%7b25EB12F5-7A9B-425D-AC38-AAFE68C10831%7d" xr:uid="{BCB21190-A457-4000-AD5E-1501827237AB}"/>
    <hyperlink ref="M46" r:id="rId112" xr:uid="{02907602-6086-49AB-8B7E-B92EB2FE6066}"/>
    <hyperlink ref="M30:M35" r:id="rId113" display="Öko-APC-Vorhaben" xr:uid="{C63EB7C4-189D-4780-867F-B0CE414B28A9}"/>
    <hyperlink ref="M175" r:id="rId114" xr:uid="{92D137F7-1529-4B6E-974D-981BA23EA85D}"/>
    <hyperlink ref="M179" r:id="rId115" xr:uid="{3189DFE6-6C8C-450F-BCD8-7C639D7785C9}"/>
    <hyperlink ref="M178" r:id="rId116" xr:uid="{BF0E3BAC-3087-44AE-9187-27CC445ABDC5}"/>
    <hyperlink ref="M176" r:id="rId117" xr:uid="{8208061E-CF01-46A1-A57C-DEC53B179BB8}"/>
    <hyperlink ref="M180" r:id="rId118" xr:uid="{5B619E79-380A-49AB-B792-F40E11013248}"/>
    <hyperlink ref="M37" r:id="rId119" xr:uid="{BE12F7FE-0090-4B45-8511-250F2CC51EB3}"/>
    <hyperlink ref="M177" r:id="rId120" xr:uid="{AC45D2C8-E89E-449B-9ACB-218D0077B442}"/>
    <hyperlink ref="M160" r:id="rId121" xr:uid="{E3DE7C35-7978-4E90-AD4A-59B01C7E17D7}"/>
    <hyperlink ref="M157" r:id="rId122" xr:uid="{FD8B77C6-38A4-45DF-ABE6-B6048D6BF71A}"/>
    <hyperlink ref="M156" r:id="rId123" xr:uid="{2C3B141F-5E74-4A07-A55D-3600E6C7AD12}"/>
    <hyperlink ref="M158" r:id="rId124" xr:uid="{9D62D2DF-5F6C-4FE0-A341-D5EB4BBD32E3}"/>
    <hyperlink ref="M159" r:id="rId125" xr:uid="{0A5A90C8-690F-49DE-9A96-68D3D90F7FE0}"/>
    <hyperlink ref="M19" r:id="rId126" xr:uid="{ABFEAB56-C2B7-4905-BE6A-15D12FDEDAA2}"/>
    <hyperlink ref="M207" r:id="rId127" xr:uid="{CD5AA57C-A255-4B5E-B01C-D14C57CCF8B2}"/>
    <hyperlink ref="M108" r:id="rId128" xr:uid="{D6046FA2-A16D-4111-8593-244A8C84D0D6}"/>
    <hyperlink ref="M112" r:id="rId129" xr:uid="{7F0BA102-C7B4-4435-BE62-2DA781711505}"/>
    <hyperlink ref="M104" r:id="rId130" xr:uid="{E6AB8CE7-EFC4-4568-A724-92106D1A29B2}"/>
    <hyperlink ref="M109" r:id="rId131" xr:uid="{A5EA0947-3591-4ADF-9AA3-233C97C9FD9E}"/>
    <hyperlink ref="M113" r:id="rId132" xr:uid="{CAD08875-CC00-4E3B-9B51-DEC4FF3E15AC}"/>
    <hyperlink ref="M111" r:id="rId133" xr:uid="{68AA3B03-7468-4CBC-8C82-9F9E087DB60C}"/>
    <hyperlink ref="M105" r:id="rId134" xr:uid="{91FC6040-2CA8-492E-AFF0-2AD7E85A25CD}"/>
    <hyperlink ref="M115" r:id="rId135" xr:uid="{CCB5E521-A4DA-40F8-BB4D-A1B79FC89927}"/>
    <hyperlink ref="M110" r:id="rId136" xr:uid="{2A54F45D-C7CD-4069-977D-7EC8878C31B7}"/>
    <hyperlink ref="M107" r:id="rId137" xr:uid="{55779468-D829-415B-A490-213D91F0A265}"/>
    <hyperlink ref="M114" r:id="rId138" xr:uid="{E6597D40-6122-4BDD-AFC2-D6E3C8150609}"/>
    <hyperlink ref="M106" r:id="rId139" xr:uid="{000E9570-5B81-4D0C-9E1D-70BCEE19BF3A}"/>
    <hyperlink ref="M75" r:id="rId140" xr:uid="{DABCE184-AD74-43FF-907E-7A62BAE90233}"/>
    <hyperlink ref="M171" r:id="rId141" xr:uid="{392564C5-EC54-45C8-85B7-76CCC1F2FC67}"/>
    <hyperlink ref="M53" r:id="rId142" xr:uid="{B838E410-1F08-4673-9B49-CEA0AE843433}"/>
    <hyperlink ref="M418" r:id="rId143" xr:uid="{BE3A9B32-9980-43AC-8296-5605D1D416BD}"/>
    <hyperlink ref="M67" r:id="rId144" xr:uid="{0ABD6591-588E-4CE3-9E01-CB14D2F40DC7}"/>
    <hyperlink ref="M209" r:id="rId145" xr:uid="{84153235-7071-43DF-A25F-FE91EFE6902C}"/>
    <hyperlink ref="M84" r:id="rId146" xr:uid="{EFBE1433-FD6F-488E-BD5B-09CDF8A5E680}"/>
    <hyperlink ref="M190" r:id="rId147" xr:uid="{08257AA4-31BC-4E92-BCF9-FA9C7D3762F9}"/>
    <hyperlink ref="M202" r:id="rId148" xr:uid="{694F6319-B469-4D3B-BC61-D8F60B576558}"/>
    <hyperlink ref="M128" r:id="rId149" xr:uid="{B109BA95-8D42-49E0-AC2E-69D221D09706}"/>
    <hyperlink ref="M141" r:id="rId150" xr:uid="{B28AB9A1-FCA3-4F21-96BA-38B42D768E68}"/>
    <hyperlink ref="M136" r:id="rId151" xr:uid="{42D56481-F2FB-430A-B52A-48C17BC55A43}"/>
    <hyperlink ref="M198" r:id="rId152" xr:uid="{46782A61-AF33-45BF-839E-AB349F2E79BD}"/>
    <hyperlink ref="M41" r:id="rId153" xr:uid="{A8E948A4-6459-4C7E-8301-DFFF0A21CF25}"/>
    <hyperlink ref="M51" r:id="rId154" xr:uid="{6754297A-5F5F-41F7-B30B-9A2199B6E573}"/>
    <hyperlink ref="M430" r:id="rId155" xr:uid="{80757379-6515-4B85-9312-C99E63AADB64}"/>
    <hyperlink ref="M68" r:id="rId156" xr:uid="{A1764BC0-6559-4008-9333-A9BE0607C44B}"/>
    <hyperlink ref="M208" r:id="rId157" xr:uid="{9CE3F95D-E0FC-46B7-ADCF-17DC45977A41}"/>
    <hyperlink ref="M80" r:id="rId158" xr:uid="{5CE35257-D182-4609-BA5D-A923AF9A14C3}"/>
    <hyperlink ref="M93" r:id="rId159" xr:uid="{EDC83402-5353-4F00-AADD-360D6D4C6D1E}"/>
    <hyperlink ref="M98" r:id="rId160" xr:uid="{D0CC4CCA-CDFB-4EB7-813E-0FEBDBFABB2B}"/>
    <hyperlink ref="M134" r:id="rId161" xr:uid="{C2A5C7D8-FC14-46F2-B7A8-332B38984A58}"/>
    <hyperlink ref="M147" r:id="rId162" xr:uid="{01177CD1-3113-4F32-844D-6A419B0FFB3B}"/>
    <hyperlink ref="M124" r:id="rId163" xr:uid="{1FDAB29E-C493-4AF2-97C0-710DC7E7B697}"/>
    <hyperlink ref="M200" r:id="rId164" xr:uid="{ECA7AC0B-E66B-4D04-A9A9-BCEEC05BCB64}"/>
    <hyperlink ref="M38" r:id="rId165" xr:uid="{F3B986A7-D4D7-4F57-9121-AC88CC09C145}"/>
    <hyperlink ref="M52" r:id="rId166" xr:uid="{6B9EACED-8E8E-4535-A671-16C454342E38}"/>
    <hyperlink ref="M435" r:id="rId167" xr:uid="{386AA752-DA50-40DD-BBBC-4E3CFC95E5A4}"/>
    <hyperlink ref="M70" r:id="rId168" xr:uid="{64E7C83B-204D-4279-823C-295DF9AA8B7D}"/>
    <hyperlink ref="M88" r:id="rId169" xr:uid="{DE443984-5C85-4E42-8CF7-838DE4401C07}"/>
    <hyperlink ref="M81" r:id="rId170" xr:uid="{27096D77-9602-4040-9E70-D93BDFBAB473}"/>
    <hyperlink ref="M92" r:id="rId171" xr:uid="{679A205E-916D-489A-8820-C7B511EFE87F}"/>
    <hyperlink ref="M58" r:id="rId172" xr:uid="{9064DA6B-608C-4C39-9762-AC7F450E56FF}"/>
    <hyperlink ref="M122" r:id="rId173" xr:uid="{40E22DFB-6F8F-472C-8052-3C8DE0832369}"/>
    <hyperlink ref="M132" r:id="rId174" xr:uid="{99AD2656-412A-42B6-9DB2-6B3A04116E55}"/>
    <hyperlink ref="M142" r:id="rId175" xr:uid="{0B4F927D-DE07-4A24-AB41-493D6DDD3A21}"/>
    <hyperlink ref="M199" r:id="rId176" xr:uid="{9EAE31D0-543A-4036-A8D7-11B62B170844}"/>
    <hyperlink ref="M42" r:id="rId177" xr:uid="{7BC16C71-6445-4C4A-9142-361C65DB79E5}"/>
    <hyperlink ref="M163" r:id="rId178" xr:uid="{0AC129E0-4A6B-4213-8551-ABFD6B02240D}"/>
    <hyperlink ref="M295" r:id="rId179" xr:uid="{B9DE302B-3755-4314-AA49-05BF501EB211}"/>
    <hyperlink ref="M69" r:id="rId180" xr:uid="{3A337986-BA79-4733-8470-E801A655E5B0}"/>
    <hyperlink ref="M205" r:id="rId181" xr:uid="{ACCF9FBF-1302-4437-824E-5E67D8136C7D}"/>
    <hyperlink ref="M78" r:id="rId182" xr:uid="{784C45E2-4833-470D-8DE4-FBC374BF2405}"/>
    <hyperlink ref="M162" r:id="rId183" xr:uid="{54E02857-C3CB-4462-8AF6-8B7AC7F7CFCD}"/>
    <hyperlink ref="M211" r:id="rId184" xr:uid="{9A7C02BF-7105-413E-A6F3-FF5A71EB16E7}"/>
    <hyperlink ref="M140" r:id="rId185" xr:uid="{77F25D0B-10CB-4C52-BD81-0D73A1777811}"/>
    <hyperlink ref="M138" r:id="rId186" xr:uid="{5C5B3F41-DDBE-448D-8E1E-B0696FC3AEED}"/>
    <hyperlink ref="M148" r:id="rId187" xr:uid="{8DECD87C-9469-4526-B536-FA638343DF11}"/>
    <hyperlink ref="M195" r:id="rId188" xr:uid="{79BDA78D-4A24-4CAF-A5E4-39FDF5A63B99}"/>
    <hyperlink ref="M39" r:id="rId189" xr:uid="{8424EAF4-B0C3-45A8-A582-E6EDF03BCBED}"/>
    <hyperlink ref="M164" r:id="rId190" xr:uid="{8E028BA1-EE74-441F-9BD3-36705439F8AF}"/>
    <hyperlink ref="M100" r:id="rId191" xr:uid="{B59FD437-43A7-46D5-8AD6-01F6D1DE4D01}"/>
    <hyperlink ref="M71" r:id="rId192" xr:uid="{BE2FAF7F-2BA4-46BD-95E5-E3A62438D272}"/>
    <hyperlink ref="M86" r:id="rId193" xr:uid="{2399A75B-ED13-4F55-99EE-5F197DB2AA6E}"/>
    <hyperlink ref="M79" r:id="rId194" xr:uid="{C8A17B76-7964-487D-B00B-AD76A4AFE93D}"/>
    <hyperlink ref="M203" r:id="rId195" xr:uid="{D1955250-5C92-4187-9921-D6AA572BA42B}"/>
    <hyperlink ref="M154" r:id="rId196" xr:uid="{27B60EEE-5698-49F0-89E5-AD5BF81D6217}"/>
    <hyperlink ref="M146" r:id="rId197" xr:uid="{7AD054AB-F7CD-41A4-9D1B-A47E0D587FD3}"/>
    <hyperlink ref="M126" r:id="rId198" xr:uid="{9CDD7AC5-9B3D-4364-AF80-BAF90E2202AC}"/>
    <hyperlink ref="M417" r:id="rId199" xr:uid="{BFD08828-7B0C-4568-856A-F54E907F8480}"/>
    <hyperlink ref="M194" r:id="rId200" xr:uid="{CB713859-785E-4178-9C16-3A3537C980A7}"/>
    <hyperlink ref="M43" r:id="rId201" xr:uid="{FCA88117-72A0-41F1-A9F2-DDC07922E588}"/>
    <hyperlink ref="M165" r:id="rId202" xr:uid="{ECD3AF40-0DFC-4E16-85DB-773C3833F9C1}"/>
    <hyperlink ref="M192" r:id="rId203" xr:uid="{AF35B44E-E126-4195-A4F3-EC280155B651}"/>
    <hyperlink ref="M73" r:id="rId204" xr:uid="{2B4C9910-EDBF-4053-BB20-E50E2EBB4BEE}"/>
    <hyperlink ref="M197" r:id="rId205" xr:uid="{E11989C4-13E2-427D-8946-A125AD449C17}"/>
    <hyperlink ref="M117" r:id="rId206" xr:uid="{36B27C2F-8F1E-41AE-B11B-2A4B7C43980E}"/>
    <hyperlink ref="M99" r:id="rId207" xr:uid="{C75AEA10-D3E2-4B32-BA8C-1015260D919E}"/>
    <hyperlink ref="M90" r:id="rId208" xr:uid="{7D628075-6A7B-4D1F-A2DA-50E473B719D4}"/>
    <hyperlink ref="M131" r:id="rId209" xr:uid="{DAE6280A-A0B8-4E80-95A1-FC0DBAF8D553}"/>
    <hyperlink ref="M144" r:id="rId210" xr:uid="{7E6D6900-0104-4F2C-899A-30410E7B8BFD}"/>
    <hyperlink ref="M415" r:id="rId211" xr:uid="{B4CFBD38-8F8C-4A56-9C52-95DECBAC8A57}"/>
    <hyperlink ref="M170" r:id="rId212" xr:uid="{346B1A8E-1A10-4A6A-BBFA-D3FBBC18B2F1}"/>
    <hyperlink ref="M50" r:id="rId213" xr:uid="{FC02D64E-F765-42FD-BE80-B9471AFECB01}"/>
    <hyperlink ref="M85" r:id="rId214" xr:uid="{5ECF5195-D4A9-4D22-9F00-9B4EC202ED96}"/>
    <hyperlink ref="M72" r:id="rId215" xr:uid="{8FD5A93B-B8E8-4EC7-A9DB-AFE16C6CE60F}"/>
    <hyperlink ref="M153" r:id="rId216" xr:uid="{AF40860C-F836-4CD1-85A2-3519931FD4D3}"/>
    <hyperlink ref="M77" r:id="rId217" xr:uid="{E42634DC-3A30-4FEC-B9DB-070ABB3F5113}"/>
    <hyperlink ref="M94" r:id="rId218" xr:uid="{F29F020C-732A-4E1D-864D-5BA4D98B8C71}"/>
    <hyperlink ref="M91" r:id="rId219" xr:uid="{4BBDA47E-D45F-4A94-ACFE-F9D914147F1E}"/>
    <hyperlink ref="M119" r:id="rId220" xr:uid="{1A5D6F25-ABF4-4899-AF65-78B94EC74F76}"/>
    <hyperlink ref="M129" r:id="rId221" xr:uid="{2E3259FD-1F07-4BE9-BAE1-94B2920A2320}"/>
    <hyperlink ref="M139" r:id="rId222" xr:uid="{3A1645CF-6F9A-4B9E-8F3B-CCBCFA092124}"/>
    <hyperlink ref="M193" r:id="rId223" xr:uid="{F965BC00-9730-4ECE-82D3-BC0EE55C8D00}"/>
    <hyperlink ref="M40" r:id="rId224" xr:uid="{11C455CC-AE7A-49A7-A7B8-964C0523068C}"/>
    <hyperlink ref="M166" r:id="rId225" xr:uid="{0910606B-D71D-4CD4-AE07-76AFC0110E6C}"/>
    <hyperlink ref="M191" r:id="rId226" xr:uid="{4D27DA30-6167-4115-81A6-23BBDAEA307B}"/>
    <hyperlink ref="M182" r:id="rId227" xr:uid="{B574D5FC-1518-4C22-BE7B-D2F78A4D9BF7}"/>
    <hyperlink ref="M36" r:id="rId228" xr:uid="{0649177D-2AB7-46B6-A520-26E567C0A0FE}"/>
    <hyperlink ref="M118" r:id="rId229" xr:uid="{033D7263-142C-43A9-9487-D59F63C433C7}"/>
    <hyperlink ref="M59" r:id="rId230" xr:uid="{69DC0CCA-D8E3-4C51-85C1-130981AB3B2D}"/>
    <hyperlink ref="M102" r:id="rId231" xr:uid="{934DF070-11EC-4AEE-A225-5E34248AF184}"/>
    <hyperlink ref="M137" r:id="rId232" xr:uid="{23A13CAC-058F-4021-A915-B3741EA60ADD}"/>
    <hyperlink ref="M150" r:id="rId233" xr:uid="{3E16CCA9-CF24-4443-8AE5-C62338E3BFBF}"/>
    <hyperlink ref="M169" r:id="rId234" xr:uid="{66324383-257C-4737-9178-F74C7638DAD7}"/>
    <hyperlink ref="M48" r:id="rId235" xr:uid="{FD6861E6-7345-4AD9-8C91-E1E07BA19D7E}"/>
    <hyperlink ref="M101" r:id="rId236" xr:uid="{1742D080-0A21-4E14-8274-43037E4E724F}"/>
    <hyperlink ref="M65" r:id="rId237" xr:uid="{0453F6D5-1A44-4366-96A8-694312666FF3}"/>
    <hyperlink ref="M152" r:id="rId238" xr:uid="{E8C56114-64B9-4928-866E-DA327129401D}"/>
    <hyperlink ref="M82" r:id="rId239" xr:uid="{7D4A0726-CC11-40D6-BF61-FE460D1DC07D}"/>
    <hyperlink ref="M95" r:id="rId240" xr:uid="{7CBD284F-F5D3-4626-B361-34AC7BA99706}"/>
    <hyperlink ref="M161" r:id="rId241" xr:uid="{FCEF5998-7CF2-49EC-9CEE-9390C1ADA7F0}"/>
    <hyperlink ref="M210" r:id="rId242" xr:uid="{5FB6E963-E78B-410D-B0F8-F34AD98932A1}"/>
    <hyperlink ref="M135" r:id="rId243" xr:uid="{439EE0F0-595C-4108-93E9-210AA1001C6A}"/>
    <hyperlink ref="M145" r:id="rId244" xr:uid="{3302763E-5EC5-49A5-A2D3-0B421CA8B556}"/>
    <hyperlink ref="M62" r:id="rId245" xr:uid="{7C41EC8F-AE4F-4184-8039-4420841D76A8}"/>
    <hyperlink ref="M56" r:id="rId246" xr:uid="{4FB2D13F-0CB8-4FAC-81DD-28956E424AFE}"/>
    <hyperlink ref="M167" r:id="rId247" xr:uid="{3B5B0BD7-33FE-4F8A-AC45-AE77F382C1D1}"/>
    <hyperlink ref="M206" r:id="rId248" xr:uid="{406D07E7-D981-4CEE-996B-FD535A9534AC}"/>
    <hyperlink ref="M116" r:id="rId249" xr:uid="{37543DD0-6856-47E4-815C-7D969950A907}"/>
    <hyperlink ref="M213" r:id="rId250" xr:uid="{F0604084-1201-46AF-8BA5-6BE848F90F6F}"/>
    <hyperlink ref="M44" r:id="rId251" xr:uid="{31B41FEE-6149-4081-94BC-F269970E4A10}"/>
    <hyperlink ref="M212" r:id="rId252" xr:uid="{8AE352CF-5672-44EA-A52A-BBFA143B5C3C}"/>
    <hyperlink ref="M201" r:id="rId253" xr:uid="{5AE8C7E7-A657-443B-8B72-684EEAC7A45A}"/>
    <hyperlink ref="M125" r:id="rId254" xr:uid="{1380EB39-8215-4877-AAC5-E70D28297F06}"/>
    <hyperlink ref="M127" r:id="rId255" xr:uid="{A59EDA37-8F79-4AA9-90DC-41901231CAB7}"/>
    <hyperlink ref="M172" r:id="rId256" xr:uid="{B2E74AF6-2747-47C1-899D-0914A671AA15}"/>
    <hyperlink ref="M49" r:id="rId257" xr:uid="{B11B821C-AA01-44A6-9AD5-BC144F8E9522}"/>
    <hyperlink ref="M436" r:id="rId258" xr:uid="{E70CC7EC-E894-4DB5-BB4A-A54A99A08AFE}"/>
    <hyperlink ref="M66" r:id="rId259" xr:uid="{DB77D05E-825D-4D5A-BD8C-26E578FE350E}"/>
    <hyperlink ref="M87" r:id="rId260" xr:uid="{88BE3BBE-9C1C-4A5E-8069-C67B75C39DA3}"/>
    <hyperlink ref="M83" r:id="rId261" xr:uid="{DD23196C-61B7-4724-84AD-2470E10F39E8}"/>
    <hyperlink ref="M89" r:id="rId262" xr:uid="{52852E8F-712C-40F2-9BFE-81679497FD0D}"/>
    <hyperlink ref="M64" r:id="rId263" xr:uid="{877E5A40-D690-4AFA-8403-764D5AD0F751}"/>
    <hyperlink ref="M196" r:id="rId264" xr:uid="{9CACF71A-67F7-4E37-8BBD-F0E50612314C}"/>
    <hyperlink ref="M123" r:id="rId265" xr:uid="{36BA1A2B-730F-497E-98C9-E45122A3C540}"/>
    <hyperlink ref="M130" r:id="rId266" xr:uid="{F06230C3-9EA3-4313-AA5E-509FFA407A97}"/>
    <hyperlink ref="M61" r:id="rId267" xr:uid="{0E98691D-0544-472C-B2D2-EE108554EF2D}"/>
    <hyperlink ref="M54" r:id="rId268" xr:uid="{9D8744FC-81BD-414B-83D4-1C8A023A6B24}"/>
    <hyperlink ref="M168" r:id="rId269" xr:uid="{37C5B74F-3502-400E-BEB9-E7D84C2DAE3C}"/>
    <hyperlink ref="M181" r:id="rId270" xr:uid="{E669D6CA-D541-48EE-B622-9984F1A473C3}"/>
    <hyperlink ref="M120" r:id="rId271" xr:uid="{3556445A-88C9-4B24-BF17-8E5DE54D8B51}"/>
    <hyperlink ref="M103" r:id="rId272" xr:uid="{22E2552B-BDA2-4D9C-8B1E-BB7B4B755510}"/>
    <hyperlink ref="M173" r:id="rId273" xr:uid="{04D1BA3E-2188-4C8C-9A21-DBC558450B59}"/>
    <hyperlink ref="M45" r:id="rId274" xr:uid="{D0EA4A0F-299E-434A-B4ED-B7567701CE2F}"/>
    <hyperlink ref="M97" r:id="rId275" xr:uid="{6C344509-A5FF-43C9-8BD8-C505D6B82276}"/>
    <hyperlink ref="M143" r:id="rId276" xr:uid="{3E6C581A-4B72-450E-B032-7D4E38B92369}"/>
    <hyperlink ref="M133" r:id="rId277" xr:uid="{B1762A06-093D-4684-9CBF-D8EDA48B68BA}"/>
    <hyperlink ref="M60" r:id="rId278" xr:uid="{8BEC36F0-86BA-4322-8810-89DFCFA829F8}"/>
    <hyperlink ref="M55" r:id="rId279" xr:uid="{9ED7CF94-62E9-403F-9C6A-2667CD3474FE}"/>
    <hyperlink ref="M63" r:id="rId280" xr:uid="{33DF4769-C82F-4E8D-8666-A259FF33D413}"/>
    <hyperlink ref="M74" r:id="rId281" xr:uid="{031C1A08-856F-41B7-BF20-8662660FB0EF}"/>
    <hyperlink ref="M174" r:id="rId282" xr:uid="{F8928FA4-89A2-47FA-97FE-F3BEDE6499DA}"/>
    <hyperlink ref="M76" r:id="rId283" xr:uid="{0F1B2A2A-DF61-40DC-9BC9-24E0BE3FF0AA}"/>
    <hyperlink ref="M96" r:id="rId284" xr:uid="{3DDB3294-A16E-4AB9-A4F0-7BB91043D35E}"/>
    <hyperlink ref="M155" r:id="rId285" xr:uid="{DC13BA8E-7B32-4F6C-A1E0-CEA130E257A4}"/>
    <hyperlink ref="M57" r:id="rId286" xr:uid="{7E1DD167-E71A-4A4E-AF06-DCC20AA0215C}"/>
    <hyperlink ref="M149" r:id="rId287" xr:uid="{55C5DA91-C451-4B90-B3DA-856044B48C25}"/>
    <hyperlink ref="M121" r:id="rId288" xr:uid="{AA8BE56B-59B6-4399-B043-93EAF0551EE2}"/>
    <hyperlink ref="M365:M441" r:id="rId289" display="scope3transparent: Treibhausgasemissionen - Scope 3.1, Daten für die_x000a_Elektronikbranche und Einkäufer:innen von IT-Geräten, Version 1.0, März 2024" xr:uid="{BF6FA39C-3069-481C-9703-C0E8AF0854C2}"/>
    <hyperlink ref="P4" location="'Aufbau LCC-CO2-Tool'!A1" display="zurück zur Übersicht" xr:uid="{5FA1CC0A-6D71-442D-8C90-B7143527C599}"/>
    <hyperlink ref="P5" location="'Anleitung für Beschaffende'!A20" display="zurück zur Anleitung für Beschaffende " xr:uid="{B11D3487-9001-4882-8AA1-5CD9D17B22F3}"/>
    <hyperlink ref="P6" location="'Anleitung für Bietende'!A18" display="zurück zur Anleitung für Bietende" xr:uid="{54D60876-A2F9-4344-88A0-83407F74446A}"/>
  </hyperlinks>
  <pageMargins left="0.70866141732283472" right="0.70866141732283472" top="0.74803149606299213" bottom="0.74803149606299213" header="0.31496062992125984" footer="0.31496062992125984"/>
  <pageSetup paperSize="9" orientation="portrait" horizontalDpi="1200" verticalDpi="1200" r:id="rId290"/>
  <headerFooter>
    <oddHeader>&amp;C&amp;14&amp;KFF0000TESTVERSION!</oddHeader>
    <oddFooter>&amp;L&amp;8LCC-CO2-Tool - Arbeitshilfe des Umweltbundesamtes&amp;C&amp;8Emissionsfaktoren - Stoffe&amp;R&amp;8&amp;P</oddFooter>
  </headerFooter>
  <drawing r:id="rId291"/>
  <legacyDrawing r:id="rId292"/>
  <tableParts count="1">
    <tablePart r:id="rId293"/>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theme="0"/>
  </sheetPr>
  <dimension ref="A1:V203"/>
  <sheetViews>
    <sheetView showGridLines="0" zoomScale="90" zoomScaleNormal="90" workbookViewId="0">
      <pane ySplit="2" topLeftCell="A116" activePane="bottomLeft" state="frozen"/>
      <selection pane="bottomLeft"/>
    </sheetView>
  </sheetViews>
  <sheetFormatPr baseColWidth="10" defaultColWidth="8" defaultRowHeight="14.5"/>
  <cols>
    <col min="1" max="1" width="3.08203125" style="2" customWidth="1"/>
    <col min="2" max="2" width="2.58203125" style="2" customWidth="1"/>
    <col min="3" max="3" width="2.25" style="2" customWidth="1"/>
    <col min="4" max="4" width="30.5" style="2" bestFit="1" customWidth="1"/>
    <col min="5" max="5" width="20.25" style="2" customWidth="1"/>
    <col min="6" max="6" width="12.83203125" style="2" customWidth="1"/>
    <col min="7" max="7" width="10.25" style="2" customWidth="1"/>
    <col min="8" max="8" width="8.75" style="2" customWidth="1"/>
    <col min="9" max="9" width="8.33203125" style="2" customWidth="1"/>
    <col min="10" max="10" width="9.75" style="2" customWidth="1"/>
    <col min="11" max="11" width="8.33203125" style="2" customWidth="1"/>
    <col min="12" max="12" width="8.5" style="2" bestFit="1" customWidth="1"/>
    <col min="13" max="13" width="9.25" style="2" customWidth="1"/>
    <col min="14" max="14" width="12.75" style="5" customWidth="1"/>
    <col min="15" max="15" width="15.58203125" style="2" bestFit="1" customWidth="1"/>
    <col min="16" max="16" width="16.25" style="2" customWidth="1"/>
    <col min="17" max="17" width="11.25" style="2" customWidth="1"/>
    <col min="18" max="18" width="9.25" style="2" customWidth="1"/>
    <col min="19" max="19" width="18.25" style="2" customWidth="1"/>
    <col min="20" max="20" width="46.5" style="2" customWidth="1"/>
    <col min="21" max="16384" width="8" style="2"/>
  </cols>
  <sheetData>
    <row r="1" spans="1:22" ht="64.150000000000006" customHeight="1">
      <c r="D1" s="95" t="s">
        <v>1067</v>
      </c>
      <c r="E1" s="95"/>
      <c r="K1" s="2" t="s">
        <v>1068</v>
      </c>
      <c r="L1" s="2" t="s">
        <v>1068</v>
      </c>
      <c r="M1" s="2" t="s">
        <v>1068</v>
      </c>
    </row>
    <row r="2" spans="1:22">
      <c r="D2" s="842" t="s">
        <v>1791</v>
      </c>
      <c r="E2" s="842" t="s">
        <v>1796</v>
      </c>
      <c r="F2" s="361" t="s">
        <v>416</v>
      </c>
      <c r="G2" s="361" t="s">
        <v>1069</v>
      </c>
      <c r="H2" s="361" t="s">
        <v>228</v>
      </c>
      <c r="I2" s="361" t="s">
        <v>1070</v>
      </c>
      <c r="J2" s="361" t="s">
        <v>415</v>
      </c>
      <c r="K2" s="361" t="s">
        <v>1071</v>
      </c>
      <c r="L2" s="361" t="s">
        <v>1072</v>
      </c>
      <c r="M2" s="361" t="s">
        <v>411</v>
      </c>
      <c r="N2" s="361" t="s">
        <v>362</v>
      </c>
      <c r="O2" s="361" t="s">
        <v>1073</v>
      </c>
      <c r="P2" s="361" t="s">
        <v>1074</v>
      </c>
      <c r="Q2" s="361" t="s">
        <v>1075</v>
      </c>
      <c r="R2" s="361" t="s">
        <v>1076</v>
      </c>
      <c r="S2" s="361" t="s">
        <v>229</v>
      </c>
      <c r="T2" s="361" t="s">
        <v>417</v>
      </c>
    </row>
    <row r="3" spans="1:22" hidden="1">
      <c r="A3" s="1016" t="s">
        <v>1077</v>
      </c>
      <c r="B3" s="1017" t="s">
        <v>1078</v>
      </c>
      <c r="D3" s="361" t="s">
        <v>128</v>
      </c>
      <c r="E3" s="361" t="s">
        <v>128</v>
      </c>
      <c r="F3" s="361"/>
      <c r="G3" s="361"/>
      <c r="H3" s="361"/>
      <c r="I3" s="361"/>
      <c r="J3" s="361"/>
      <c r="K3" s="361"/>
      <c r="L3" s="361"/>
      <c r="M3" s="361"/>
      <c r="N3" s="361"/>
      <c r="O3" s="361"/>
      <c r="P3" s="361"/>
      <c r="Q3" s="361"/>
      <c r="R3" s="361"/>
      <c r="S3" s="361"/>
      <c r="T3" s="361"/>
    </row>
    <row r="4" spans="1:22" ht="14.65" customHeight="1">
      <c r="A4" s="1016"/>
      <c r="B4" s="1017"/>
      <c r="D4" s="361" t="s">
        <v>210</v>
      </c>
      <c r="E4" s="361" t="s">
        <v>210</v>
      </c>
      <c r="F4" s="361" t="s">
        <v>853</v>
      </c>
      <c r="G4" s="546">
        <v>8.9746961111111112</v>
      </c>
      <c r="H4" s="361" t="s">
        <v>1079</v>
      </c>
      <c r="I4" s="546">
        <v>0.74</v>
      </c>
      <c r="J4" s="361" t="s">
        <v>1080</v>
      </c>
      <c r="K4" s="361"/>
      <c r="L4" s="361"/>
      <c r="M4" s="361"/>
      <c r="N4" s="546">
        <v>2.9486355411354634</v>
      </c>
      <c r="O4" s="361" t="s">
        <v>1081</v>
      </c>
      <c r="P4" s="361"/>
      <c r="Q4" s="361"/>
      <c r="R4" s="361"/>
      <c r="S4" s="361" t="s">
        <v>1082</v>
      </c>
      <c r="T4" s="361"/>
    </row>
    <row r="5" spans="1:22" ht="16.5">
      <c r="A5" s="1016"/>
      <c r="B5" s="1017"/>
      <c r="D5" s="842" t="s">
        <v>195</v>
      </c>
      <c r="E5" s="842" t="s">
        <v>195</v>
      </c>
      <c r="F5" s="361" t="s">
        <v>241</v>
      </c>
      <c r="G5" s="546">
        <v>11.26</v>
      </c>
      <c r="H5" s="361" t="s">
        <v>1083</v>
      </c>
      <c r="I5" s="546">
        <v>0.74</v>
      </c>
      <c r="J5" s="361" t="s">
        <v>1080</v>
      </c>
      <c r="K5" s="361"/>
      <c r="L5" s="361"/>
      <c r="M5" s="361"/>
      <c r="N5" s="546">
        <v>0.27</v>
      </c>
      <c r="O5" s="361" t="s">
        <v>1084</v>
      </c>
      <c r="P5" s="361"/>
      <c r="Q5" s="361"/>
      <c r="R5" s="361"/>
      <c r="S5" s="361" t="s">
        <v>1085</v>
      </c>
      <c r="T5" s="842" t="s">
        <v>1789</v>
      </c>
      <c r="V5" s="996" t="s">
        <v>1886</v>
      </c>
    </row>
    <row r="6" spans="1:22" ht="16.5">
      <c r="A6" s="1016"/>
      <c r="B6" s="1017"/>
      <c r="D6" s="361" t="s">
        <v>1086</v>
      </c>
      <c r="E6" s="361" t="s">
        <v>1086</v>
      </c>
      <c r="F6" s="361" t="s">
        <v>853</v>
      </c>
      <c r="G6" s="546">
        <v>9.9285333333333323</v>
      </c>
      <c r="H6" s="361" t="s">
        <v>1079</v>
      </c>
      <c r="I6" s="546"/>
      <c r="J6" s="361"/>
      <c r="K6" s="361"/>
      <c r="L6" s="361"/>
      <c r="M6" s="361"/>
      <c r="N6" s="546">
        <v>3.4673963593606745</v>
      </c>
      <c r="O6" s="361" t="s">
        <v>1081</v>
      </c>
      <c r="P6" s="361"/>
      <c r="Q6" s="361"/>
      <c r="R6" s="361"/>
      <c r="S6" s="361" t="s">
        <v>1082</v>
      </c>
      <c r="T6" s="361" t="s">
        <v>1087</v>
      </c>
      <c r="V6" s="996" t="s">
        <v>1887</v>
      </c>
    </row>
    <row r="7" spans="1:22" ht="16.5">
      <c r="A7" s="1016"/>
      <c r="B7" s="1017"/>
      <c r="D7" s="361" t="s">
        <v>1088</v>
      </c>
      <c r="E7" s="361" t="s">
        <v>1088</v>
      </c>
      <c r="F7" s="361" t="s">
        <v>1089</v>
      </c>
      <c r="G7" s="546">
        <v>11933.333333333334</v>
      </c>
      <c r="H7" s="361" t="s">
        <v>1090</v>
      </c>
      <c r="I7" s="546">
        <v>0.83199999999999996</v>
      </c>
      <c r="J7" s="361" t="s">
        <v>1080</v>
      </c>
      <c r="K7" s="361"/>
      <c r="L7" s="361"/>
      <c r="M7" s="361"/>
      <c r="N7" s="546">
        <v>4167.5437011546564</v>
      </c>
      <c r="O7" s="361" t="s">
        <v>1091</v>
      </c>
      <c r="P7" s="361"/>
      <c r="Q7" s="361"/>
      <c r="R7" s="361"/>
      <c r="S7" s="361" t="s">
        <v>1082</v>
      </c>
      <c r="T7" s="361"/>
      <c r="V7" s="996" t="s">
        <v>1888</v>
      </c>
    </row>
    <row r="8" spans="1:22" ht="16.5">
      <c r="A8" s="1016"/>
      <c r="B8" s="1017"/>
      <c r="D8" s="361" t="s">
        <v>199</v>
      </c>
      <c r="E8" s="361" t="s">
        <v>199</v>
      </c>
      <c r="F8" s="361" t="s">
        <v>241</v>
      </c>
      <c r="G8" s="546">
        <v>10.3</v>
      </c>
      <c r="H8" s="361" t="s">
        <v>1083</v>
      </c>
      <c r="I8" s="546">
        <v>0.88300000000000001</v>
      </c>
      <c r="J8" s="361" t="s">
        <v>1080</v>
      </c>
      <c r="K8" s="361"/>
      <c r="L8" s="361"/>
      <c r="M8" s="361"/>
      <c r="N8" s="546">
        <v>0.16600000000000001</v>
      </c>
      <c r="O8" s="361" t="s">
        <v>1084</v>
      </c>
      <c r="P8" s="361"/>
      <c r="Q8" s="361"/>
      <c r="R8" s="361"/>
      <c r="S8" s="361" t="s">
        <v>1085</v>
      </c>
      <c r="T8" s="361"/>
    </row>
    <row r="9" spans="1:22" ht="16.5">
      <c r="A9" s="1016"/>
      <c r="B9" s="1017"/>
      <c r="D9" s="361" t="s">
        <v>216</v>
      </c>
      <c r="E9" s="361" t="s">
        <v>216</v>
      </c>
      <c r="F9" s="361" t="s">
        <v>853</v>
      </c>
      <c r="G9" s="546">
        <v>10.3</v>
      </c>
      <c r="H9" s="361" t="s">
        <v>1083</v>
      </c>
      <c r="I9" s="546">
        <v>0.88300000000000001</v>
      </c>
      <c r="J9" s="361" t="s">
        <v>1080</v>
      </c>
      <c r="K9" s="361"/>
      <c r="L9" s="361"/>
      <c r="M9" s="361"/>
      <c r="N9" s="546">
        <v>1.5097534000000001</v>
      </c>
      <c r="O9" s="361" t="s">
        <v>1081</v>
      </c>
      <c r="P9" s="361"/>
      <c r="Q9" s="361"/>
      <c r="R9" s="361"/>
      <c r="S9" s="361" t="s">
        <v>1085</v>
      </c>
      <c r="T9" s="361"/>
    </row>
    <row r="10" spans="1:22" ht="16.5">
      <c r="A10" s="1016"/>
      <c r="B10" s="1017"/>
      <c r="D10" s="361" t="s">
        <v>200</v>
      </c>
      <c r="E10" s="361" t="s">
        <v>200</v>
      </c>
      <c r="F10" s="361" t="s">
        <v>241</v>
      </c>
      <c r="G10" s="546">
        <v>7.77</v>
      </c>
      <c r="H10" s="361" t="s">
        <v>1083</v>
      </c>
      <c r="I10" s="546">
        <v>0.79400000000000004</v>
      </c>
      <c r="J10" s="361" t="s">
        <v>1080</v>
      </c>
      <c r="K10" s="361"/>
      <c r="L10" s="361"/>
      <c r="M10" s="361"/>
      <c r="N10" s="546">
        <v>0.20799999999999999</v>
      </c>
      <c r="O10" s="361" t="s">
        <v>1084</v>
      </c>
      <c r="P10" s="361"/>
      <c r="Q10" s="361"/>
      <c r="R10" s="361"/>
      <c r="S10" s="361" t="s">
        <v>1085</v>
      </c>
      <c r="T10" s="361"/>
    </row>
    <row r="11" spans="1:22" ht="16.5">
      <c r="A11" s="1016"/>
      <c r="B11" s="1017"/>
      <c r="D11" s="361" t="s">
        <v>218</v>
      </c>
      <c r="E11" s="361" t="s">
        <v>218</v>
      </c>
      <c r="F11" s="361" t="s">
        <v>853</v>
      </c>
      <c r="G11" s="546">
        <v>7.77</v>
      </c>
      <c r="H11" s="361" t="s">
        <v>1083</v>
      </c>
      <c r="I11" s="546">
        <v>0.79400000000000004</v>
      </c>
      <c r="J11" s="361" t="s">
        <v>1080</v>
      </c>
      <c r="K11" s="361"/>
      <c r="L11" s="361"/>
      <c r="M11" s="361"/>
      <c r="N11" s="546">
        <v>1.28323104</v>
      </c>
      <c r="O11" s="361" t="s">
        <v>1081</v>
      </c>
      <c r="P11" s="361"/>
      <c r="Q11" s="361"/>
      <c r="R11" s="361"/>
      <c r="S11" s="361" t="s">
        <v>1085</v>
      </c>
      <c r="T11" s="361"/>
    </row>
    <row r="12" spans="1:22" ht="16.5">
      <c r="A12" s="1016"/>
      <c r="B12" s="1017"/>
      <c r="D12" s="361" t="s">
        <v>208</v>
      </c>
      <c r="E12" s="361" t="s">
        <v>208</v>
      </c>
      <c r="F12" s="361" t="s">
        <v>853</v>
      </c>
      <c r="G12" s="546">
        <v>9.8564266666666676</v>
      </c>
      <c r="H12" s="361" t="s">
        <v>1079</v>
      </c>
      <c r="I12" s="546">
        <v>0.83</v>
      </c>
      <c r="J12" s="361" t="s">
        <v>1080</v>
      </c>
      <c r="K12" s="361"/>
      <c r="L12" s="361"/>
      <c r="M12" s="361"/>
      <c r="N12" s="546">
        <v>3.3321231694545759</v>
      </c>
      <c r="O12" s="361" t="s">
        <v>1081</v>
      </c>
      <c r="P12" s="361"/>
      <c r="Q12" s="361"/>
      <c r="R12" s="361"/>
      <c r="S12" s="361" t="s">
        <v>1082</v>
      </c>
      <c r="T12" s="361"/>
    </row>
    <row r="13" spans="1:22" ht="16.5">
      <c r="A13" s="1016"/>
      <c r="B13" s="1017"/>
      <c r="D13" s="842" t="s">
        <v>194</v>
      </c>
      <c r="E13" s="842" t="s">
        <v>194</v>
      </c>
      <c r="F13" s="361" t="s">
        <v>241</v>
      </c>
      <c r="G13" s="546">
        <v>11.65</v>
      </c>
      <c r="H13" s="361" t="s">
        <v>1083</v>
      </c>
      <c r="I13" s="546">
        <v>0.83</v>
      </c>
      <c r="J13" s="361" t="s">
        <v>1080</v>
      </c>
      <c r="K13" s="361"/>
      <c r="L13" s="361"/>
      <c r="M13" s="361"/>
      <c r="N13" s="546">
        <v>0.318</v>
      </c>
      <c r="O13" s="361" t="s">
        <v>1084</v>
      </c>
      <c r="P13" s="361"/>
      <c r="Q13" s="361"/>
      <c r="R13" s="361"/>
      <c r="S13" s="361" t="s">
        <v>1085</v>
      </c>
      <c r="T13" s="842" t="s">
        <v>1789</v>
      </c>
    </row>
    <row r="14" spans="1:22" ht="16.5">
      <c r="A14" s="1016"/>
      <c r="B14" s="1017"/>
      <c r="D14" s="361" t="s">
        <v>1092</v>
      </c>
      <c r="E14" s="361" t="s">
        <v>1092</v>
      </c>
      <c r="F14" s="361" t="s">
        <v>247</v>
      </c>
      <c r="G14" s="546">
        <v>12.916666666666666</v>
      </c>
      <c r="H14" s="361" t="s">
        <v>1083</v>
      </c>
      <c r="I14" s="546">
        <v>0.73</v>
      </c>
      <c r="J14" s="361" t="s">
        <v>1093</v>
      </c>
      <c r="K14" s="361"/>
      <c r="L14" s="361"/>
      <c r="M14" s="361"/>
      <c r="N14" s="546">
        <v>2.1442908085009669</v>
      </c>
      <c r="O14" s="361" t="s">
        <v>1094</v>
      </c>
      <c r="P14" s="361"/>
      <c r="Q14" s="361"/>
      <c r="R14" s="361"/>
      <c r="S14" s="361" t="s">
        <v>1082</v>
      </c>
      <c r="T14" s="361" t="s">
        <v>1095</v>
      </c>
    </row>
    <row r="15" spans="1:22" ht="16.5">
      <c r="A15" s="1016"/>
      <c r="B15" s="1017"/>
      <c r="D15" s="361" t="s">
        <v>204</v>
      </c>
      <c r="E15" s="361" t="s">
        <v>204</v>
      </c>
      <c r="F15" s="361" t="s">
        <v>853</v>
      </c>
      <c r="G15" s="546"/>
      <c r="H15" s="361"/>
      <c r="I15" s="546">
        <v>0.51020408163265307</v>
      </c>
      <c r="J15" s="361" t="s">
        <v>1080</v>
      </c>
      <c r="K15" s="361"/>
      <c r="L15" s="361"/>
      <c r="M15" s="361"/>
      <c r="N15" s="546">
        <v>1.094025922704575</v>
      </c>
      <c r="O15" s="548" t="s">
        <v>1081</v>
      </c>
      <c r="P15" s="361"/>
      <c r="Q15" s="361"/>
      <c r="R15" s="361"/>
      <c r="S15" s="361" t="s">
        <v>1082</v>
      </c>
      <c r="T15" s="361" t="s">
        <v>1095</v>
      </c>
    </row>
    <row r="16" spans="1:22" ht="16.5">
      <c r="A16" s="1016"/>
      <c r="B16" s="1017"/>
      <c r="D16" s="361" t="s">
        <v>1096</v>
      </c>
      <c r="E16" s="361" t="s">
        <v>1096</v>
      </c>
      <c r="F16" s="361" t="s">
        <v>853</v>
      </c>
      <c r="G16" s="546">
        <v>8.8545333333333343</v>
      </c>
      <c r="H16" s="361" t="s">
        <v>1079</v>
      </c>
      <c r="I16" s="361"/>
      <c r="J16" s="361"/>
      <c r="K16" s="361"/>
      <c r="L16" s="361"/>
      <c r="M16" s="361"/>
      <c r="N16" s="546">
        <v>2.8078253510098983</v>
      </c>
      <c r="O16" s="548" t="s">
        <v>1081</v>
      </c>
      <c r="P16" s="361"/>
      <c r="Q16" s="361"/>
      <c r="R16" s="361"/>
      <c r="S16" s="361" t="s">
        <v>1082</v>
      </c>
      <c r="T16" s="361"/>
    </row>
    <row r="17" spans="1:20" ht="16.5">
      <c r="A17" s="1016"/>
      <c r="B17" s="1017"/>
      <c r="D17" s="361" t="s">
        <v>1097</v>
      </c>
      <c r="E17" s="361" t="s">
        <v>1097</v>
      </c>
      <c r="F17" s="361" t="s">
        <v>1089</v>
      </c>
      <c r="G17" s="546">
        <v>12091.666666666666</v>
      </c>
      <c r="H17" s="361" t="s">
        <v>1090</v>
      </c>
      <c r="I17" s="546">
        <v>0.74199999999999999</v>
      </c>
      <c r="J17" s="361" t="s">
        <v>1080</v>
      </c>
      <c r="K17" s="361"/>
      <c r="L17" s="361"/>
      <c r="M17" s="361"/>
      <c r="N17" s="546">
        <v>3784.1312008219656</v>
      </c>
      <c r="O17" s="548" t="s">
        <v>1091</v>
      </c>
      <c r="P17" s="361"/>
      <c r="Q17" s="361"/>
      <c r="R17" s="361"/>
      <c r="S17" s="361" t="s">
        <v>1082</v>
      </c>
      <c r="T17" s="361"/>
    </row>
    <row r="18" spans="1:20" ht="16.5">
      <c r="A18" s="1016"/>
      <c r="B18" s="1017"/>
      <c r="D18" s="361" t="s">
        <v>206</v>
      </c>
      <c r="E18" s="361" t="s">
        <v>206</v>
      </c>
      <c r="F18" s="361" t="s">
        <v>853</v>
      </c>
      <c r="G18" s="546">
        <v>7.7663333333333391</v>
      </c>
      <c r="H18" s="361" t="s">
        <v>1079</v>
      </c>
      <c r="I18" s="546">
        <v>0.6</v>
      </c>
      <c r="J18" s="361" t="s">
        <v>1080</v>
      </c>
      <c r="K18" s="361"/>
      <c r="L18" s="361"/>
      <c r="M18" s="361"/>
      <c r="N18" s="546">
        <v>2.2545905751521955</v>
      </c>
      <c r="O18" s="548" t="s">
        <v>1081</v>
      </c>
      <c r="P18" s="361"/>
      <c r="Q18" s="361"/>
      <c r="R18" s="361"/>
      <c r="S18" s="361" t="s">
        <v>1082</v>
      </c>
      <c r="T18" s="361"/>
    </row>
    <row r="19" spans="1:20" ht="16.5">
      <c r="A19" s="1016"/>
      <c r="B19" s="1017"/>
      <c r="D19" s="361" t="s">
        <v>198</v>
      </c>
      <c r="E19" s="361" t="s">
        <v>198</v>
      </c>
      <c r="F19" s="361" t="s">
        <v>241</v>
      </c>
      <c r="G19" s="546">
        <v>3.94</v>
      </c>
      <c r="H19" s="361" t="s">
        <v>1083</v>
      </c>
      <c r="I19" s="546" t="s">
        <v>126</v>
      </c>
      <c r="J19" s="361" t="s">
        <v>126</v>
      </c>
      <c r="K19" s="361"/>
      <c r="L19" s="361"/>
      <c r="M19" s="361"/>
      <c r="N19" s="546">
        <v>2.3E-2</v>
      </c>
      <c r="O19" s="548" t="s">
        <v>1084</v>
      </c>
      <c r="P19" s="361"/>
      <c r="Q19" s="361"/>
      <c r="R19" s="361"/>
      <c r="S19" s="361" t="s">
        <v>1085</v>
      </c>
      <c r="T19" s="361"/>
    </row>
    <row r="20" spans="1:20" ht="16.5">
      <c r="A20" s="1016"/>
      <c r="B20" s="1017"/>
      <c r="D20" s="361" t="s">
        <v>214</v>
      </c>
      <c r="E20" s="361" t="s">
        <v>214</v>
      </c>
      <c r="F20" s="361" t="s">
        <v>247</v>
      </c>
      <c r="G20" s="546">
        <v>3.94</v>
      </c>
      <c r="H20" s="361" t="s">
        <v>1083</v>
      </c>
      <c r="I20" s="546">
        <v>1</v>
      </c>
      <c r="J20" s="361" t="s">
        <v>126</v>
      </c>
      <c r="K20" s="361"/>
      <c r="L20" s="361"/>
      <c r="M20" s="361"/>
      <c r="N20" s="546">
        <v>9.0619999999999992E-2</v>
      </c>
      <c r="O20" s="548" t="s">
        <v>1094</v>
      </c>
      <c r="P20" s="361"/>
      <c r="Q20" s="361"/>
      <c r="R20" s="361"/>
      <c r="S20" s="361" t="s">
        <v>1085</v>
      </c>
      <c r="T20" s="361"/>
    </row>
    <row r="21" spans="1:20" ht="16.5">
      <c r="A21" s="1016"/>
      <c r="B21" s="1017"/>
      <c r="D21" s="361" t="s">
        <v>1098</v>
      </c>
      <c r="E21" s="361" t="s">
        <v>1098</v>
      </c>
      <c r="F21" s="361" t="s">
        <v>1089</v>
      </c>
      <c r="G21" s="546">
        <v>11888.888888888887</v>
      </c>
      <c r="H21" s="361" t="s">
        <v>1090</v>
      </c>
      <c r="I21" s="546">
        <v>0.8</v>
      </c>
      <c r="J21" s="361" t="s">
        <v>1080</v>
      </c>
      <c r="K21" s="361"/>
      <c r="L21" s="361"/>
      <c r="M21" s="361"/>
      <c r="N21" s="546">
        <v>3833.1917003120334</v>
      </c>
      <c r="O21" s="548" t="s">
        <v>1091</v>
      </c>
      <c r="P21" s="361"/>
      <c r="Q21" s="361"/>
      <c r="R21" s="361"/>
      <c r="S21" s="361" t="s">
        <v>1082</v>
      </c>
      <c r="T21" s="361"/>
    </row>
    <row r="22" spans="1:20" ht="16.5">
      <c r="A22" s="1016"/>
      <c r="B22" s="1017"/>
      <c r="D22" s="361" t="s">
        <v>1099</v>
      </c>
      <c r="E22" s="361" t="s">
        <v>1099</v>
      </c>
      <c r="F22" s="361" t="s">
        <v>853</v>
      </c>
      <c r="G22" s="546">
        <v>9.5111111111111111</v>
      </c>
      <c r="H22" s="361" t="s">
        <v>1079</v>
      </c>
      <c r="I22" s="546"/>
      <c r="J22" s="361"/>
      <c r="K22" s="361"/>
      <c r="L22" s="361"/>
      <c r="M22" s="361"/>
      <c r="N22" s="546">
        <v>3.0665533602496264</v>
      </c>
      <c r="O22" s="548" t="s">
        <v>1081</v>
      </c>
      <c r="P22" s="361"/>
      <c r="Q22" s="361"/>
      <c r="R22" s="361"/>
      <c r="S22" s="361" t="s">
        <v>1082</v>
      </c>
      <c r="T22" s="361"/>
    </row>
    <row r="23" spans="1:20" ht="16.5">
      <c r="A23" s="1016"/>
      <c r="B23" s="1017"/>
      <c r="D23" s="361" t="s">
        <v>1100</v>
      </c>
      <c r="E23" s="361" t="s">
        <v>1100</v>
      </c>
      <c r="F23" s="361" t="s">
        <v>1089</v>
      </c>
      <c r="G23" s="546">
        <v>11933.333333333334</v>
      </c>
      <c r="H23" s="361" t="s">
        <v>1090</v>
      </c>
      <c r="I23" s="546">
        <v>0.83199999999999996</v>
      </c>
      <c r="J23" s="361" t="s">
        <v>1080</v>
      </c>
      <c r="K23" s="361"/>
      <c r="L23" s="361"/>
      <c r="M23" s="361"/>
      <c r="N23" s="546">
        <v>4167.5437011546574</v>
      </c>
      <c r="O23" s="548" t="s">
        <v>1091</v>
      </c>
      <c r="P23" s="361"/>
      <c r="Q23" s="361"/>
      <c r="R23" s="361"/>
      <c r="S23" s="361" t="s">
        <v>1082</v>
      </c>
      <c r="T23" s="361"/>
    </row>
    <row r="24" spans="1:20" ht="16.5">
      <c r="A24" s="1016"/>
      <c r="B24" s="1017"/>
      <c r="D24" s="361" t="s">
        <v>1101</v>
      </c>
      <c r="E24" s="361" t="s">
        <v>1101</v>
      </c>
      <c r="F24" s="361" t="s">
        <v>853</v>
      </c>
      <c r="G24" s="546">
        <v>9.8564266666666693</v>
      </c>
      <c r="H24" s="361" t="s">
        <v>1079</v>
      </c>
      <c r="I24" s="546"/>
      <c r="J24" s="361"/>
      <c r="K24" s="361"/>
      <c r="L24" s="361"/>
      <c r="M24" s="361"/>
      <c r="N24" s="546">
        <v>3.3321231694545759</v>
      </c>
      <c r="O24" s="548" t="s">
        <v>1081</v>
      </c>
      <c r="P24" s="361"/>
      <c r="Q24" s="361"/>
      <c r="R24" s="361"/>
      <c r="S24" s="361" t="s">
        <v>1082</v>
      </c>
      <c r="T24" s="361" t="s">
        <v>1102</v>
      </c>
    </row>
    <row r="25" spans="1:20" ht="16.5">
      <c r="A25" s="1016"/>
      <c r="B25" s="1017"/>
      <c r="D25" s="361" t="s">
        <v>1103</v>
      </c>
      <c r="E25" s="361" t="s">
        <v>1103</v>
      </c>
      <c r="F25" s="361" t="s">
        <v>1089</v>
      </c>
      <c r="G25" s="546">
        <v>11933.333333333334</v>
      </c>
      <c r="H25" s="361" t="s">
        <v>1090</v>
      </c>
      <c r="I25" s="546">
        <v>0.86499999999999999</v>
      </c>
      <c r="J25" s="361" t="s">
        <v>1080</v>
      </c>
      <c r="K25" s="361"/>
      <c r="L25" s="361"/>
      <c r="M25" s="361"/>
      <c r="N25" s="546">
        <v>4008.5507044632077</v>
      </c>
      <c r="O25" s="548" t="s">
        <v>1091</v>
      </c>
      <c r="P25" s="361"/>
      <c r="Q25" s="361"/>
      <c r="R25" s="361"/>
      <c r="S25" s="361" t="s">
        <v>1082</v>
      </c>
      <c r="T25" s="361"/>
    </row>
    <row r="26" spans="1:20" ht="16.5">
      <c r="A26" s="1016"/>
      <c r="B26" s="1017"/>
      <c r="D26" s="361" t="s">
        <v>1104</v>
      </c>
      <c r="E26" s="361" t="s">
        <v>1104</v>
      </c>
      <c r="F26" s="361" t="s">
        <v>247</v>
      </c>
      <c r="G26" s="546">
        <v>33</v>
      </c>
      <c r="H26" s="361" t="s">
        <v>1083</v>
      </c>
      <c r="I26" s="546"/>
      <c r="J26" s="361"/>
      <c r="K26" s="361"/>
      <c r="L26" s="361"/>
      <c r="M26" s="361"/>
      <c r="N26" s="546">
        <v>12.3</v>
      </c>
      <c r="O26" s="548" t="s">
        <v>1094</v>
      </c>
      <c r="P26" s="361"/>
      <c r="Q26" s="361"/>
      <c r="R26" s="361"/>
      <c r="S26" s="361" t="s">
        <v>1082</v>
      </c>
      <c r="T26" s="361"/>
    </row>
    <row r="27" spans="1:20" ht="16.5">
      <c r="A27" s="1016"/>
      <c r="B27" s="1017"/>
      <c r="D27" s="361" t="s">
        <v>1105</v>
      </c>
      <c r="E27" s="361" t="s">
        <v>1105</v>
      </c>
      <c r="F27" s="361" t="s">
        <v>247</v>
      </c>
      <c r="G27" s="546">
        <v>33</v>
      </c>
      <c r="H27" s="361" t="s">
        <v>1083</v>
      </c>
      <c r="I27" s="546"/>
      <c r="J27" s="361"/>
      <c r="K27" s="361"/>
      <c r="L27" s="361"/>
      <c r="M27" s="361"/>
      <c r="N27" s="546">
        <v>1.5</v>
      </c>
      <c r="O27" s="548" t="s">
        <v>1094</v>
      </c>
      <c r="P27" s="361"/>
      <c r="Q27" s="361"/>
      <c r="R27" s="361"/>
      <c r="S27" s="361" t="s">
        <v>1082</v>
      </c>
      <c r="T27" s="361"/>
    </row>
    <row r="28" spans="1:20" ht="16.5">
      <c r="A28" s="1016"/>
      <c r="B28" s="1017"/>
      <c r="D28" s="361" t="s">
        <v>1106</v>
      </c>
      <c r="E28" s="361" t="s">
        <v>1106</v>
      </c>
      <c r="F28" s="361" t="s">
        <v>247</v>
      </c>
      <c r="G28" s="546">
        <v>33</v>
      </c>
      <c r="H28" s="361" t="s">
        <v>1083</v>
      </c>
      <c r="I28" s="546"/>
      <c r="J28" s="361"/>
      <c r="K28" s="361"/>
      <c r="L28" s="361"/>
      <c r="M28" s="361"/>
      <c r="N28" s="546">
        <v>11.5</v>
      </c>
      <c r="O28" s="548" t="s">
        <v>1094</v>
      </c>
      <c r="P28" s="361"/>
      <c r="Q28" s="361"/>
      <c r="R28" s="361"/>
      <c r="S28" s="361" t="s">
        <v>1082</v>
      </c>
      <c r="T28" s="361"/>
    </row>
    <row r="29" spans="1:20" ht="16.5">
      <c r="A29" s="1016"/>
      <c r="B29" s="1017"/>
      <c r="D29" s="361" t="s">
        <v>1107</v>
      </c>
      <c r="E29" s="361" t="s">
        <v>1107</v>
      </c>
      <c r="F29" s="361" t="s">
        <v>247</v>
      </c>
      <c r="G29" s="546">
        <v>33</v>
      </c>
      <c r="H29" s="361" t="s">
        <v>1083</v>
      </c>
      <c r="I29" s="546"/>
      <c r="J29" s="361"/>
      <c r="K29" s="361"/>
      <c r="L29" s="361"/>
      <c r="M29" s="361"/>
      <c r="N29" s="546">
        <v>16.100000000000001</v>
      </c>
      <c r="O29" s="548" t="s">
        <v>1094</v>
      </c>
      <c r="P29" s="361"/>
      <c r="Q29" s="361"/>
      <c r="R29" s="361"/>
      <c r="S29" s="361" t="s">
        <v>1082</v>
      </c>
      <c r="T29" s="361"/>
    </row>
    <row r="30" spans="1:20">
      <c r="A30" s="1016"/>
      <c r="B30" s="1017"/>
      <c r="D30" s="507"/>
      <c r="E30" s="507"/>
      <c r="F30" s="507"/>
      <c r="G30" s="549"/>
      <c r="H30" s="507"/>
      <c r="I30" s="549"/>
      <c r="J30" s="507"/>
      <c r="K30" s="549"/>
      <c r="L30" s="549"/>
      <c r="M30" s="549"/>
      <c r="N30" s="549"/>
      <c r="O30" s="101"/>
      <c r="P30" s="549"/>
      <c r="Q30" s="549"/>
      <c r="R30" s="507"/>
      <c r="S30" s="507"/>
    </row>
    <row r="31" spans="1:20">
      <c r="A31" s="1016"/>
      <c r="B31" s="1017"/>
      <c r="D31" s="550"/>
      <c r="E31" s="547" t="s">
        <v>1066</v>
      </c>
      <c r="F31" s="11"/>
      <c r="G31" s="108"/>
      <c r="H31" s="11"/>
      <c r="I31" s="108"/>
      <c r="J31" s="11"/>
      <c r="K31" s="108"/>
      <c r="L31" s="108"/>
      <c r="M31" s="108"/>
      <c r="N31" s="108"/>
      <c r="O31" s="11"/>
      <c r="P31" s="108"/>
      <c r="Q31" s="108"/>
      <c r="R31" s="11"/>
      <c r="S31" s="11"/>
      <c r="T31" s="11"/>
    </row>
    <row r="32" spans="1:20">
      <c r="A32" s="1016"/>
      <c r="B32" s="1017"/>
      <c r="D32" s="550"/>
      <c r="E32" s="547" t="s">
        <v>1066</v>
      </c>
      <c r="F32" s="11"/>
      <c r="G32" s="108"/>
      <c r="H32" s="11"/>
      <c r="I32" s="108"/>
      <c r="J32" s="11"/>
      <c r="K32" s="108"/>
      <c r="L32" s="108"/>
      <c r="M32" s="108"/>
      <c r="N32" s="108"/>
      <c r="O32" s="11"/>
      <c r="P32" s="108"/>
      <c r="Q32" s="108"/>
      <c r="R32" s="11"/>
      <c r="S32" s="11"/>
      <c r="T32" s="11"/>
    </row>
    <row r="33" spans="1:20">
      <c r="A33" s="1016"/>
      <c r="B33" s="1017"/>
      <c r="D33" s="550"/>
      <c r="E33" s="547" t="s">
        <v>1066</v>
      </c>
      <c r="F33" s="11"/>
      <c r="G33" s="108"/>
      <c r="H33" s="11"/>
      <c r="I33" s="108"/>
      <c r="J33" s="11"/>
      <c r="K33" s="108"/>
      <c r="L33" s="108"/>
      <c r="M33" s="108"/>
      <c r="N33" s="108"/>
      <c r="O33" s="11"/>
      <c r="P33" s="108"/>
      <c r="Q33" s="108"/>
      <c r="R33" s="11"/>
      <c r="S33" s="11"/>
      <c r="T33" s="11"/>
    </row>
    <row r="34" spans="1:20">
      <c r="B34" s="109"/>
      <c r="D34" s="47"/>
      <c r="E34" s="47"/>
      <c r="F34" s="47"/>
      <c r="G34" s="107"/>
      <c r="H34" s="47"/>
      <c r="I34" s="107"/>
      <c r="J34" s="47"/>
      <c r="K34" s="107"/>
      <c r="L34" s="107"/>
      <c r="M34" s="107"/>
      <c r="N34" s="107"/>
      <c r="O34" s="47"/>
      <c r="P34" s="107"/>
      <c r="Q34" s="107"/>
      <c r="R34" s="47"/>
      <c r="S34" s="47"/>
      <c r="T34" s="102"/>
    </row>
    <row r="35" spans="1:20" ht="14.65" customHeight="1">
      <c r="A35" s="1016" t="s">
        <v>1108</v>
      </c>
      <c r="B35" s="1017" t="s">
        <v>1109</v>
      </c>
      <c r="D35" s="842" t="s">
        <v>1792</v>
      </c>
      <c r="E35" s="842" t="s">
        <v>1795</v>
      </c>
      <c r="F35" s="361" t="s">
        <v>416</v>
      </c>
      <c r="G35" s="361" t="s">
        <v>1069</v>
      </c>
      <c r="H35" s="361" t="s">
        <v>228</v>
      </c>
      <c r="I35" s="361" t="s">
        <v>1070</v>
      </c>
      <c r="J35" s="361" t="s">
        <v>415</v>
      </c>
      <c r="K35" s="361" t="s">
        <v>1071</v>
      </c>
      <c r="L35" s="361" t="s">
        <v>1072</v>
      </c>
      <c r="M35" s="361" t="s">
        <v>411</v>
      </c>
      <c r="N35" s="361" t="s">
        <v>362</v>
      </c>
      <c r="O35" s="361" t="s">
        <v>1073</v>
      </c>
      <c r="P35" s="361" t="s">
        <v>1074</v>
      </c>
      <c r="Q35" s="361" t="s">
        <v>1110</v>
      </c>
      <c r="R35" s="361" t="s">
        <v>1076</v>
      </c>
      <c r="S35" s="361" t="s">
        <v>229</v>
      </c>
      <c r="T35" s="361" t="s">
        <v>417</v>
      </c>
    </row>
    <row r="36" spans="1:20" ht="14.65" customHeight="1">
      <c r="A36" s="1016"/>
      <c r="B36" s="1017"/>
      <c r="D36" s="361" t="s">
        <v>1111</v>
      </c>
      <c r="E36" s="361" t="s">
        <v>1111</v>
      </c>
      <c r="F36" s="361" t="s">
        <v>241</v>
      </c>
      <c r="G36" s="546"/>
      <c r="H36" s="361"/>
      <c r="I36" s="546"/>
      <c r="J36" s="361"/>
      <c r="K36" s="361"/>
      <c r="L36" s="361"/>
      <c r="M36" s="361"/>
      <c r="N36" s="546">
        <v>0.17019499999999999</v>
      </c>
      <c r="O36" s="361" t="s">
        <v>1084</v>
      </c>
      <c r="P36" s="361"/>
      <c r="Q36" s="361"/>
      <c r="R36" s="361"/>
      <c r="S36" s="361" t="s">
        <v>1082</v>
      </c>
      <c r="T36" s="361" t="s">
        <v>1112</v>
      </c>
    </row>
    <row r="37" spans="1:20" ht="14.65" customHeight="1">
      <c r="A37" s="1016"/>
      <c r="B37" s="1017"/>
      <c r="D37" s="361" t="s">
        <v>1113</v>
      </c>
      <c r="E37" s="361" t="s">
        <v>1113</v>
      </c>
      <c r="F37" s="361" t="s">
        <v>458</v>
      </c>
      <c r="G37" s="546">
        <v>5</v>
      </c>
      <c r="H37" s="361" t="s">
        <v>1114</v>
      </c>
      <c r="I37" s="546"/>
      <c r="J37" s="361"/>
      <c r="K37" s="361"/>
      <c r="L37" s="361"/>
      <c r="M37" s="361"/>
      <c r="N37" s="546">
        <v>0.85097499999999993</v>
      </c>
      <c r="O37" s="361" t="s">
        <v>1115</v>
      </c>
      <c r="P37" s="361"/>
      <c r="Q37" s="361"/>
      <c r="R37" s="361"/>
      <c r="S37" s="361" t="s">
        <v>1082</v>
      </c>
      <c r="T37" s="361"/>
    </row>
    <row r="38" spans="1:20" ht="14.65" customHeight="1">
      <c r="A38" s="1016"/>
      <c r="B38" s="1017"/>
      <c r="D38" s="361" t="s">
        <v>1116</v>
      </c>
      <c r="E38" s="361" t="s">
        <v>1116</v>
      </c>
      <c r="F38" s="361" t="s">
        <v>241</v>
      </c>
      <c r="G38" s="546"/>
      <c r="H38" s="361"/>
      <c r="I38" s="546"/>
      <c r="J38" s="361"/>
      <c r="K38" s="361"/>
      <c r="L38" s="361"/>
      <c r="M38" s="361"/>
      <c r="N38" s="546">
        <v>2.384E-2</v>
      </c>
      <c r="O38" s="361" t="s">
        <v>1084</v>
      </c>
      <c r="P38" s="361"/>
      <c r="Q38" s="361"/>
      <c r="R38" s="361"/>
      <c r="S38" s="361" t="s">
        <v>1082</v>
      </c>
      <c r="T38" s="361"/>
    </row>
    <row r="39" spans="1:20" ht="14.65" customHeight="1">
      <c r="A39" s="1016"/>
      <c r="B39" s="1017"/>
      <c r="D39" s="361" t="s">
        <v>1117</v>
      </c>
      <c r="E39" s="361" t="s">
        <v>1117</v>
      </c>
      <c r="F39" s="361" t="s">
        <v>458</v>
      </c>
      <c r="G39" s="546">
        <v>814</v>
      </c>
      <c r="H39" s="361" t="s">
        <v>1114</v>
      </c>
      <c r="I39" s="546">
        <v>200</v>
      </c>
      <c r="J39" s="361" t="s">
        <v>1118</v>
      </c>
      <c r="K39" s="361"/>
      <c r="L39" s="361"/>
      <c r="M39" s="361"/>
      <c r="N39" s="546">
        <v>19.405760000000001</v>
      </c>
      <c r="O39" s="361" t="s">
        <v>1115</v>
      </c>
      <c r="P39" s="361"/>
      <c r="Q39" s="361"/>
      <c r="R39" s="361"/>
      <c r="S39" s="361" t="s">
        <v>1082</v>
      </c>
      <c r="T39" s="361"/>
    </row>
    <row r="40" spans="1:20" ht="16.5">
      <c r="A40" s="1016"/>
      <c r="B40" s="1017"/>
      <c r="D40" s="361" t="s">
        <v>1119</v>
      </c>
      <c r="E40" s="361" t="s">
        <v>1119</v>
      </c>
      <c r="F40" s="361" t="s">
        <v>1120</v>
      </c>
      <c r="G40" s="546">
        <v>4.07</v>
      </c>
      <c r="H40" s="361" t="s">
        <v>1083</v>
      </c>
      <c r="I40" s="546"/>
      <c r="J40" s="361"/>
      <c r="K40" s="361"/>
      <c r="L40" s="361"/>
      <c r="M40" s="361"/>
      <c r="N40" s="546">
        <v>97.028800000000004</v>
      </c>
      <c r="O40" s="361" t="s">
        <v>1091</v>
      </c>
      <c r="P40" s="361"/>
      <c r="Q40" s="361"/>
      <c r="R40" s="361"/>
      <c r="S40" s="361" t="s">
        <v>1082</v>
      </c>
      <c r="T40" s="361"/>
    </row>
    <row r="41" spans="1:20" ht="16.5">
      <c r="A41" s="1016"/>
      <c r="B41" s="1017"/>
      <c r="D41" s="361" t="s">
        <v>1121</v>
      </c>
      <c r="E41" s="361" t="s">
        <v>1121</v>
      </c>
      <c r="F41" s="361" t="s">
        <v>241</v>
      </c>
      <c r="G41" s="546"/>
      <c r="H41" s="361"/>
      <c r="I41" s="546"/>
      <c r="J41" s="361"/>
      <c r="K41" s="361"/>
      <c r="L41" s="361"/>
      <c r="M41" s="361"/>
      <c r="N41" s="546">
        <v>0.44492799999999999</v>
      </c>
      <c r="O41" s="361" t="s">
        <v>1084</v>
      </c>
      <c r="P41" s="361"/>
      <c r="Q41" s="361"/>
      <c r="R41" s="361"/>
      <c r="S41" s="361" t="s">
        <v>1082</v>
      </c>
      <c r="T41" s="361"/>
    </row>
    <row r="42" spans="1:20" ht="16.5">
      <c r="A42" s="1016"/>
      <c r="B42" s="1017"/>
      <c r="D42" s="361" t="s">
        <v>1122</v>
      </c>
      <c r="E42" s="361" t="s">
        <v>1122</v>
      </c>
      <c r="F42" s="361" t="s">
        <v>1120</v>
      </c>
      <c r="G42" s="546">
        <v>5208.3329999999996</v>
      </c>
      <c r="H42" s="361" t="s">
        <v>1090</v>
      </c>
      <c r="I42" s="546"/>
      <c r="J42" s="361"/>
      <c r="K42" s="361"/>
      <c r="L42" s="361"/>
      <c r="M42" s="361"/>
      <c r="N42" s="546">
        <v>2317.3331850239997</v>
      </c>
      <c r="O42" s="361" t="s">
        <v>1091</v>
      </c>
      <c r="P42" s="361"/>
      <c r="Q42" s="361"/>
      <c r="R42" s="361"/>
      <c r="S42" s="361" t="s">
        <v>1082</v>
      </c>
      <c r="T42" s="361"/>
    </row>
    <row r="43" spans="1:20" ht="17.5">
      <c r="A43" s="1016"/>
      <c r="B43" s="1017"/>
      <c r="D43" s="361" t="s">
        <v>1123</v>
      </c>
      <c r="E43" s="361" t="s">
        <v>1123</v>
      </c>
      <c r="F43" s="361" t="s">
        <v>458</v>
      </c>
      <c r="G43" s="546">
        <v>3385.4164499999997</v>
      </c>
      <c r="H43" s="361" t="s">
        <v>1114</v>
      </c>
      <c r="I43" s="546">
        <v>0.65</v>
      </c>
      <c r="J43" s="361" t="s">
        <v>1124</v>
      </c>
      <c r="K43" s="361"/>
      <c r="L43" s="361"/>
      <c r="M43" s="361"/>
      <c r="N43" s="546">
        <v>1506.2665702656</v>
      </c>
      <c r="O43" s="361" t="s">
        <v>1115</v>
      </c>
      <c r="P43" s="361"/>
      <c r="Q43" s="361"/>
      <c r="R43" s="361"/>
      <c r="S43" s="361" t="s">
        <v>1082</v>
      </c>
      <c r="T43" s="361"/>
    </row>
    <row r="44" spans="1:20" ht="14.65" customHeight="1">
      <c r="A44" s="1016"/>
      <c r="B44" s="1017"/>
      <c r="D44" s="361" t="s">
        <v>1125</v>
      </c>
      <c r="E44" s="361" t="s">
        <v>1125</v>
      </c>
      <c r="F44" s="361" t="s">
        <v>241</v>
      </c>
      <c r="G44" s="546"/>
      <c r="H44" s="361"/>
      <c r="I44" s="546"/>
      <c r="J44" s="361"/>
      <c r="K44" s="361"/>
      <c r="L44" s="361"/>
      <c r="M44" s="361"/>
      <c r="N44" s="546">
        <v>0.44492799999999999</v>
      </c>
      <c r="O44" s="361" t="s">
        <v>1084</v>
      </c>
      <c r="P44" s="361"/>
      <c r="Q44" s="361"/>
      <c r="R44" s="361"/>
      <c r="S44" s="361" t="s">
        <v>1082</v>
      </c>
      <c r="T44" s="361"/>
    </row>
    <row r="45" spans="1:20" ht="16.5">
      <c r="A45" s="1016"/>
      <c r="B45" s="1017"/>
      <c r="D45" s="361" t="s">
        <v>1126</v>
      </c>
      <c r="E45" s="361" t="s">
        <v>1126</v>
      </c>
      <c r="F45" s="361" t="s">
        <v>1120</v>
      </c>
      <c r="G45" s="546">
        <v>5208.3329999999996</v>
      </c>
      <c r="H45" s="361" t="s">
        <v>1090</v>
      </c>
      <c r="I45" s="546"/>
      <c r="J45" s="361"/>
      <c r="K45" s="361"/>
      <c r="L45" s="361"/>
      <c r="M45" s="361"/>
      <c r="N45" s="546">
        <v>2317.3331850239997</v>
      </c>
      <c r="O45" s="361" t="s">
        <v>1091</v>
      </c>
      <c r="P45" s="361"/>
      <c r="Q45" s="361"/>
      <c r="R45" s="361"/>
      <c r="S45" s="361" t="s">
        <v>1082</v>
      </c>
      <c r="T45" s="361"/>
    </row>
    <row r="46" spans="1:20" ht="17.5">
      <c r="A46" s="1016"/>
      <c r="B46" s="1017"/>
      <c r="D46" s="361" t="s">
        <v>1127</v>
      </c>
      <c r="E46" s="361" t="s">
        <v>1127</v>
      </c>
      <c r="F46" s="361" t="s">
        <v>458</v>
      </c>
      <c r="G46" s="546">
        <v>3385.4164499999997</v>
      </c>
      <c r="H46" s="361" t="s">
        <v>1114</v>
      </c>
      <c r="I46" s="546">
        <v>0.65</v>
      </c>
      <c r="J46" s="361" t="s">
        <v>1124</v>
      </c>
      <c r="K46" s="361"/>
      <c r="L46" s="361"/>
      <c r="M46" s="361"/>
      <c r="N46" s="546">
        <v>1506.2665702656</v>
      </c>
      <c r="O46" s="361" t="s">
        <v>1115</v>
      </c>
      <c r="P46" s="361"/>
      <c r="Q46" s="361"/>
      <c r="R46" s="361"/>
      <c r="S46" s="361" t="s">
        <v>1082</v>
      </c>
      <c r="T46" s="361"/>
    </row>
    <row r="47" spans="1:20" ht="16.5">
      <c r="A47" s="1016"/>
      <c r="B47" s="1017"/>
      <c r="D47" s="361" t="s">
        <v>1128</v>
      </c>
      <c r="E47" s="361" t="s">
        <v>1128</v>
      </c>
      <c r="F47" s="361" t="s">
        <v>241</v>
      </c>
      <c r="G47" s="546"/>
      <c r="H47" s="361"/>
      <c r="I47" s="546"/>
      <c r="J47" s="361"/>
      <c r="K47" s="361"/>
      <c r="L47" s="361"/>
      <c r="M47" s="361"/>
      <c r="N47" s="546">
        <v>2.5058999999999998E-2</v>
      </c>
      <c r="O47" s="361" t="s">
        <v>1084</v>
      </c>
      <c r="P47" s="361"/>
      <c r="Q47" s="361"/>
      <c r="R47" s="361"/>
      <c r="S47" s="361" t="s">
        <v>1082</v>
      </c>
      <c r="T47" s="361"/>
    </row>
    <row r="48" spans="1:20" ht="14.65" customHeight="1">
      <c r="A48" s="1016"/>
      <c r="B48" s="1017"/>
      <c r="D48" s="842" t="s">
        <v>1785</v>
      </c>
      <c r="E48" s="842" t="s">
        <v>1785</v>
      </c>
      <c r="F48" s="361" t="s">
        <v>1129</v>
      </c>
      <c r="G48" s="546">
        <v>2035</v>
      </c>
      <c r="H48" s="361" t="s">
        <v>1130</v>
      </c>
      <c r="I48" s="546">
        <v>0.5</v>
      </c>
      <c r="J48" s="361" t="s">
        <v>1131</v>
      </c>
      <c r="K48" s="361"/>
      <c r="L48" s="361"/>
      <c r="M48" s="361"/>
      <c r="N48" s="546">
        <v>50.995065000000004</v>
      </c>
      <c r="O48" s="361" t="s">
        <v>1132</v>
      </c>
      <c r="P48" s="361"/>
      <c r="Q48" s="361"/>
      <c r="R48" s="361"/>
      <c r="S48" s="361" t="s">
        <v>1082</v>
      </c>
      <c r="T48" s="361"/>
    </row>
    <row r="49" spans="1:20" ht="14.65" customHeight="1">
      <c r="A49" s="1016"/>
      <c r="B49" s="1017"/>
      <c r="D49" s="842" t="s">
        <v>1786</v>
      </c>
      <c r="E49" s="842" t="s">
        <v>1786</v>
      </c>
      <c r="F49" s="361" t="s">
        <v>1133</v>
      </c>
      <c r="G49" s="546">
        <v>2849</v>
      </c>
      <c r="H49" s="361" t="s">
        <v>1134</v>
      </c>
      <c r="I49" s="546">
        <v>1.4</v>
      </c>
      <c r="J49" s="361" t="s">
        <v>1135</v>
      </c>
      <c r="K49" s="361"/>
      <c r="L49" s="361"/>
      <c r="M49" s="361"/>
      <c r="N49" s="546">
        <v>71.393090999999998</v>
      </c>
      <c r="O49" s="361" t="s">
        <v>1136</v>
      </c>
      <c r="P49" s="361"/>
      <c r="Q49" s="361"/>
      <c r="R49" s="361"/>
      <c r="S49" s="361" t="s">
        <v>1082</v>
      </c>
      <c r="T49" s="361"/>
    </row>
    <row r="50" spans="1:20" ht="17.5">
      <c r="A50" s="1016"/>
      <c r="B50" s="1017"/>
      <c r="D50" s="361" t="s">
        <v>1137</v>
      </c>
      <c r="E50" s="361" t="s">
        <v>1137</v>
      </c>
      <c r="F50" s="361" t="s">
        <v>458</v>
      </c>
      <c r="G50" s="546">
        <v>11.55</v>
      </c>
      <c r="H50" s="361" t="s">
        <v>1114</v>
      </c>
      <c r="I50" s="546"/>
      <c r="J50" s="361"/>
      <c r="K50" s="361"/>
      <c r="L50" s="361"/>
      <c r="M50" s="361"/>
      <c r="N50" s="546">
        <v>2.7384168735000003</v>
      </c>
      <c r="O50" s="361" t="s">
        <v>1115</v>
      </c>
      <c r="P50" s="361"/>
      <c r="Q50" s="361"/>
      <c r="R50" s="361"/>
      <c r="S50" s="361" t="s">
        <v>1082</v>
      </c>
      <c r="T50" s="361"/>
    </row>
    <row r="51" spans="1:20" ht="16.5">
      <c r="A51" s="1016"/>
      <c r="B51" s="1017"/>
      <c r="D51" s="361" t="s">
        <v>192</v>
      </c>
      <c r="E51" s="361" t="s">
        <v>192</v>
      </c>
      <c r="F51" s="361" t="s">
        <v>241</v>
      </c>
      <c r="G51" s="546">
        <v>13.89</v>
      </c>
      <c r="H51" s="361" t="s">
        <v>1083</v>
      </c>
      <c r="I51" s="546">
        <v>0.73</v>
      </c>
      <c r="J51" s="361" t="s">
        <v>1093</v>
      </c>
      <c r="K51" s="361"/>
      <c r="L51" s="361"/>
      <c r="M51" s="361"/>
      <c r="N51" s="546">
        <v>0.27100000000000002</v>
      </c>
      <c r="O51" s="361" t="s">
        <v>1084</v>
      </c>
      <c r="P51" s="361"/>
      <c r="Q51" s="361"/>
      <c r="R51" s="361"/>
      <c r="S51" s="361" t="s">
        <v>1085</v>
      </c>
      <c r="T51" s="361"/>
    </row>
    <row r="52" spans="1:20" ht="16.5">
      <c r="A52" s="1016"/>
      <c r="B52" s="1017"/>
      <c r="D52" s="361" t="s">
        <v>1138</v>
      </c>
      <c r="E52" s="361" t="s">
        <v>1138</v>
      </c>
      <c r="F52" s="361" t="s">
        <v>241</v>
      </c>
      <c r="G52" s="546"/>
      <c r="H52" s="361"/>
      <c r="I52" s="546"/>
      <c r="J52" s="361"/>
      <c r="K52" s="361"/>
      <c r="L52" s="361"/>
      <c r="M52" s="361"/>
      <c r="N52" s="546">
        <v>0.30751600000000001</v>
      </c>
      <c r="O52" s="361" t="s">
        <v>1084</v>
      </c>
      <c r="P52" s="361"/>
      <c r="Q52" s="361"/>
      <c r="R52" s="361"/>
      <c r="S52" s="361" t="s">
        <v>1082</v>
      </c>
      <c r="T52" s="361" t="s">
        <v>1139</v>
      </c>
    </row>
    <row r="53" spans="1:20" ht="14.65" customHeight="1">
      <c r="A53" s="1016"/>
      <c r="B53" s="1017"/>
      <c r="D53" s="361" t="s">
        <v>1140</v>
      </c>
      <c r="E53" s="361" t="s">
        <v>1140</v>
      </c>
      <c r="F53" s="361" t="s">
        <v>241</v>
      </c>
      <c r="G53" s="546">
        <v>12.77778</v>
      </c>
      <c r="H53" s="361" t="s">
        <v>1083</v>
      </c>
      <c r="I53" s="546">
        <v>0.6</v>
      </c>
      <c r="J53" s="361" t="s">
        <v>1080</v>
      </c>
      <c r="K53" s="361"/>
      <c r="L53" s="361"/>
      <c r="M53" s="361"/>
      <c r="N53" s="546">
        <v>0.29407698039776808</v>
      </c>
      <c r="O53" s="361" t="s">
        <v>1084</v>
      </c>
      <c r="P53" s="361"/>
      <c r="Q53" s="361"/>
      <c r="R53" s="361"/>
      <c r="S53" s="361" t="s">
        <v>1082</v>
      </c>
      <c r="T53" s="361"/>
    </row>
    <row r="54" spans="1:20" ht="16.5">
      <c r="A54" s="1016"/>
      <c r="B54" s="1017"/>
      <c r="D54" s="361" t="s">
        <v>1141</v>
      </c>
      <c r="E54" s="361" t="s">
        <v>1141</v>
      </c>
      <c r="F54" s="361" t="s">
        <v>1142</v>
      </c>
      <c r="G54" s="546">
        <v>7.6666679999999996</v>
      </c>
      <c r="H54" s="361" t="s">
        <v>1079</v>
      </c>
      <c r="I54" s="546"/>
      <c r="J54" s="361"/>
      <c r="K54" s="361"/>
      <c r="L54" s="361"/>
      <c r="M54" s="361"/>
      <c r="N54" s="546">
        <v>2.2545905751521955</v>
      </c>
      <c r="O54" s="361" t="s">
        <v>1081</v>
      </c>
      <c r="P54" s="361"/>
      <c r="Q54" s="361"/>
      <c r="R54" s="361"/>
      <c r="S54" s="361" t="s">
        <v>1082</v>
      </c>
      <c r="T54" s="361"/>
    </row>
    <row r="55" spans="1:20" ht="17.5">
      <c r="A55" s="1016"/>
      <c r="B55" s="1017"/>
      <c r="D55" s="361" t="s">
        <v>1143</v>
      </c>
      <c r="E55" s="361" t="s">
        <v>1143</v>
      </c>
      <c r="F55" s="361" t="s">
        <v>458</v>
      </c>
      <c r="G55" s="546">
        <v>30.130005239999999</v>
      </c>
      <c r="H55" s="361" t="s">
        <v>1114</v>
      </c>
      <c r="I55" s="546">
        <v>3.93</v>
      </c>
      <c r="J55" s="361" t="s">
        <v>1144</v>
      </c>
      <c r="K55" s="361"/>
      <c r="L55" s="361"/>
      <c r="M55" s="361"/>
      <c r="N55" s="546">
        <v>8.8605409603481284</v>
      </c>
      <c r="O55" s="361" t="s">
        <v>1115</v>
      </c>
      <c r="P55" s="361"/>
      <c r="Q55" s="361"/>
      <c r="R55" s="361"/>
      <c r="S55" s="361" t="s">
        <v>1082</v>
      </c>
      <c r="T55" s="361"/>
    </row>
    <row r="56" spans="1:20" ht="16.5">
      <c r="A56" s="1016"/>
      <c r="B56" s="1017"/>
      <c r="D56" s="361" t="s">
        <v>1145</v>
      </c>
      <c r="E56" s="361" t="s">
        <v>1145</v>
      </c>
      <c r="F56" s="361" t="s">
        <v>1120</v>
      </c>
      <c r="G56" s="546">
        <v>12.77778</v>
      </c>
      <c r="H56" s="361" t="s">
        <v>1083</v>
      </c>
      <c r="I56" s="546"/>
      <c r="J56" s="361"/>
      <c r="K56" s="361"/>
      <c r="L56" s="361"/>
      <c r="M56" s="361"/>
      <c r="N56" s="546">
        <v>3757.6509585869926</v>
      </c>
      <c r="O56" s="361" t="s">
        <v>1091</v>
      </c>
      <c r="P56" s="361"/>
      <c r="Q56" s="361"/>
      <c r="R56" s="361"/>
      <c r="S56" s="361" t="s">
        <v>1082</v>
      </c>
      <c r="T56" s="361"/>
    </row>
    <row r="57" spans="1:20" ht="16.5" customHeight="1">
      <c r="A57" s="1016"/>
      <c r="B57" s="1017"/>
      <c r="D57" s="361" t="s">
        <v>190</v>
      </c>
      <c r="E57" s="361" t="s">
        <v>190</v>
      </c>
      <c r="F57" s="361" t="s">
        <v>241</v>
      </c>
      <c r="G57" s="546">
        <v>11.93</v>
      </c>
      <c r="H57" s="361" t="s">
        <v>1083</v>
      </c>
      <c r="I57" s="546">
        <v>0.83699999999999997</v>
      </c>
      <c r="J57" s="361" t="s">
        <v>1080</v>
      </c>
      <c r="K57" s="361"/>
      <c r="L57" s="361"/>
      <c r="M57" s="361"/>
      <c r="N57" s="546">
        <v>0.33700000000000002</v>
      </c>
      <c r="O57" s="361" t="s">
        <v>1146</v>
      </c>
      <c r="P57" s="361"/>
      <c r="Q57" s="361"/>
      <c r="R57" s="361"/>
      <c r="S57" s="361" t="s">
        <v>1085</v>
      </c>
      <c r="T57" s="361"/>
    </row>
    <row r="58" spans="1:20" ht="16.5" customHeight="1">
      <c r="A58" s="1016"/>
      <c r="B58" s="1017"/>
      <c r="D58" s="361" t="s">
        <v>202</v>
      </c>
      <c r="E58" s="361" t="s">
        <v>202</v>
      </c>
      <c r="F58" s="361" t="s">
        <v>853</v>
      </c>
      <c r="G58" s="546">
        <v>11.93</v>
      </c>
      <c r="H58" s="361" t="s">
        <v>1083</v>
      </c>
      <c r="I58" s="546">
        <v>0.83699999999999997</v>
      </c>
      <c r="J58" s="361" t="s">
        <v>1080</v>
      </c>
      <c r="K58" s="361"/>
      <c r="L58" s="361"/>
      <c r="M58" s="361"/>
      <c r="N58" s="546">
        <v>3.3650831699999997</v>
      </c>
      <c r="O58" s="361" t="s">
        <v>1147</v>
      </c>
      <c r="P58" s="361"/>
      <c r="Q58" s="361"/>
      <c r="R58" s="361"/>
      <c r="S58" s="361" t="s">
        <v>1085</v>
      </c>
      <c r="T58" s="361"/>
    </row>
    <row r="59" spans="1:20" ht="16.5">
      <c r="A59" s="1016"/>
      <c r="B59" s="1017"/>
      <c r="D59" s="361" t="s">
        <v>1148</v>
      </c>
      <c r="E59" s="361" t="s">
        <v>1148</v>
      </c>
      <c r="F59" s="361" t="s">
        <v>241</v>
      </c>
      <c r="G59" s="546"/>
      <c r="H59" s="361"/>
      <c r="I59" s="546"/>
      <c r="J59" s="361"/>
      <c r="K59" s="361"/>
      <c r="L59" s="361"/>
      <c r="M59" s="361"/>
      <c r="N59" s="546">
        <v>0.31274599999999997</v>
      </c>
      <c r="O59" s="361" t="s">
        <v>1084</v>
      </c>
      <c r="P59" s="361"/>
      <c r="Q59" s="361"/>
      <c r="R59" s="361"/>
      <c r="S59" s="361" t="s">
        <v>1082</v>
      </c>
      <c r="T59" s="361"/>
    </row>
    <row r="60" spans="1:20" ht="16.5">
      <c r="A60" s="1016"/>
      <c r="B60" s="1017"/>
      <c r="D60" s="361" t="s">
        <v>1149</v>
      </c>
      <c r="E60" s="361" t="s">
        <v>1149</v>
      </c>
      <c r="F60" s="361" t="s">
        <v>1142</v>
      </c>
      <c r="G60" s="546">
        <v>10.046110000000001</v>
      </c>
      <c r="H60" s="361" t="s">
        <v>1079</v>
      </c>
      <c r="I60" s="546"/>
      <c r="J60" s="361"/>
      <c r="K60" s="361"/>
      <c r="L60" s="361"/>
      <c r="M60" s="361"/>
      <c r="N60" s="546">
        <v>3.1418807180600004</v>
      </c>
      <c r="O60" s="361" t="s">
        <v>1081</v>
      </c>
      <c r="P60" s="361"/>
      <c r="Q60" s="361"/>
      <c r="R60" s="361"/>
      <c r="S60" s="361" t="s">
        <v>1082</v>
      </c>
      <c r="T60" s="361"/>
    </row>
    <row r="61" spans="1:20" ht="17.5">
      <c r="A61" s="1016"/>
      <c r="B61" s="1017"/>
      <c r="D61" s="361" t="s">
        <v>1150</v>
      </c>
      <c r="E61" s="361" t="s">
        <v>1150</v>
      </c>
      <c r="F61" s="361" t="s">
        <v>458</v>
      </c>
      <c r="G61" s="546">
        <v>10046.11</v>
      </c>
      <c r="H61" s="361" t="s">
        <v>1114</v>
      </c>
      <c r="I61" s="546">
        <v>1000</v>
      </c>
      <c r="J61" s="361" t="s">
        <v>1144</v>
      </c>
      <c r="K61" s="361"/>
      <c r="L61" s="361"/>
      <c r="M61" s="361"/>
      <c r="N61" s="546">
        <v>3141.8807180600002</v>
      </c>
      <c r="O61" s="361" t="s">
        <v>1115</v>
      </c>
      <c r="P61" s="361"/>
      <c r="Q61" s="361"/>
      <c r="R61" s="361"/>
      <c r="S61" s="361" t="s">
        <v>1082</v>
      </c>
      <c r="T61" s="361"/>
    </row>
    <row r="62" spans="1:20" ht="16.5">
      <c r="A62" s="1016"/>
      <c r="B62" s="1017"/>
      <c r="D62" s="361" t="s">
        <v>1151</v>
      </c>
      <c r="E62" s="361" t="s">
        <v>1151</v>
      </c>
      <c r="F62" s="361" t="s">
        <v>1142</v>
      </c>
      <c r="G62" s="546">
        <v>9.4907799999999991</v>
      </c>
      <c r="H62" s="361" t="s">
        <v>1079</v>
      </c>
      <c r="I62" s="546">
        <v>0.86499999999999999</v>
      </c>
      <c r="J62" s="361" t="s">
        <v>1080</v>
      </c>
      <c r="K62" s="361"/>
      <c r="L62" s="361"/>
      <c r="M62" s="361"/>
      <c r="N62" s="546">
        <v>3.0904503001020003</v>
      </c>
      <c r="O62" s="361" t="s">
        <v>1081</v>
      </c>
      <c r="P62" s="361"/>
      <c r="Q62" s="361"/>
      <c r="R62" s="361"/>
      <c r="S62" s="361" t="s">
        <v>1082</v>
      </c>
      <c r="T62" s="361"/>
    </row>
    <row r="63" spans="1:20" ht="17.5">
      <c r="A63" s="1016"/>
      <c r="B63" s="1017"/>
      <c r="D63" s="361" t="s">
        <v>1152</v>
      </c>
      <c r="E63" s="361" t="s">
        <v>1152</v>
      </c>
      <c r="F63" s="361" t="s">
        <v>458</v>
      </c>
      <c r="G63" s="546">
        <v>9490.7799999999988</v>
      </c>
      <c r="H63" s="361" t="s">
        <v>1114</v>
      </c>
      <c r="I63" s="546">
        <v>1000</v>
      </c>
      <c r="J63" s="361" t="s">
        <v>1144</v>
      </c>
      <c r="K63" s="361"/>
      <c r="L63" s="361"/>
      <c r="M63" s="361"/>
      <c r="N63" s="546">
        <v>3090.4503001020007</v>
      </c>
      <c r="O63" s="361" t="s">
        <v>1115</v>
      </c>
      <c r="P63" s="361"/>
      <c r="Q63" s="361"/>
      <c r="R63" s="361"/>
      <c r="S63" s="361" t="s">
        <v>1082</v>
      </c>
      <c r="T63" s="361"/>
    </row>
    <row r="64" spans="1:20" ht="16.5">
      <c r="A64" s="1016"/>
      <c r="B64" s="1017"/>
      <c r="D64" s="361" t="s">
        <v>1153</v>
      </c>
      <c r="E64" s="361" t="s">
        <v>1153</v>
      </c>
      <c r="F64" s="361" t="s">
        <v>1120</v>
      </c>
      <c r="G64" s="546">
        <v>10971.999999999998</v>
      </c>
      <c r="H64" s="361" t="s">
        <v>1090</v>
      </c>
      <c r="I64" s="546">
        <v>0.86499999999999999</v>
      </c>
      <c r="J64" s="361" t="s">
        <v>1124</v>
      </c>
      <c r="K64" s="361"/>
      <c r="L64" s="361"/>
      <c r="M64" s="361"/>
      <c r="N64" s="546">
        <v>3572.7749134127175</v>
      </c>
      <c r="O64" s="361" t="s">
        <v>1091</v>
      </c>
      <c r="P64" s="361"/>
      <c r="Q64" s="361"/>
      <c r="R64" s="361"/>
      <c r="S64" s="361" t="s">
        <v>1082</v>
      </c>
      <c r="T64" s="361"/>
    </row>
    <row r="65" spans="1:21" ht="16.5">
      <c r="A65" s="1016"/>
      <c r="B65" s="1017"/>
      <c r="D65" s="361" t="s">
        <v>1154</v>
      </c>
      <c r="E65" s="361" t="s">
        <v>1154</v>
      </c>
      <c r="F65" s="361" t="s">
        <v>241</v>
      </c>
      <c r="G65" s="546"/>
      <c r="H65" s="361"/>
      <c r="I65" s="546"/>
      <c r="J65" s="361"/>
      <c r="K65" s="361"/>
      <c r="L65" s="361"/>
      <c r="M65" s="361"/>
      <c r="N65" s="546">
        <v>0.32562658707735304</v>
      </c>
      <c r="O65" s="361" t="s">
        <v>1084</v>
      </c>
      <c r="P65" s="361"/>
      <c r="Q65" s="361"/>
      <c r="R65" s="361"/>
      <c r="S65" s="361" t="s">
        <v>1082</v>
      </c>
      <c r="T65" s="361"/>
    </row>
    <row r="66" spans="1:21" ht="16.5">
      <c r="A66" s="1016"/>
      <c r="B66" s="1017"/>
      <c r="D66" s="361" t="s">
        <v>1155</v>
      </c>
      <c r="E66" s="361" t="s">
        <v>1155</v>
      </c>
      <c r="F66" s="361" t="s">
        <v>241</v>
      </c>
      <c r="G66" s="546"/>
      <c r="H66" s="361"/>
      <c r="I66" s="546"/>
      <c r="J66" s="361"/>
      <c r="K66" s="361"/>
      <c r="L66" s="361"/>
      <c r="M66" s="361"/>
      <c r="N66" s="546">
        <v>1.6156E-2</v>
      </c>
      <c r="O66" s="361" t="s">
        <v>1084</v>
      </c>
      <c r="P66" s="361"/>
      <c r="Q66" s="361"/>
      <c r="R66" s="361"/>
      <c r="S66" s="361" t="s">
        <v>1082</v>
      </c>
      <c r="T66" s="361"/>
    </row>
    <row r="67" spans="1:21" ht="16.5">
      <c r="A67" s="1016"/>
      <c r="B67" s="1017"/>
      <c r="D67" s="361" t="s">
        <v>1156</v>
      </c>
      <c r="E67" s="361" t="s">
        <v>1156</v>
      </c>
      <c r="F67" s="361" t="s">
        <v>1120</v>
      </c>
      <c r="G67" s="546">
        <v>4070</v>
      </c>
      <c r="H67" s="361" t="s">
        <v>1090</v>
      </c>
      <c r="I67" s="546"/>
      <c r="J67" s="361"/>
      <c r="K67" s="361"/>
      <c r="L67" s="361"/>
      <c r="M67" s="361"/>
      <c r="N67" s="546">
        <v>65.754919999999998</v>
      </c>
      <c r="O67" s="361" t="s">
        <v>1091</v>
      </c>
      <c r="P67" s="361"/>
      <c r="Q67" s="361"/>
      <c r="R67" s="361"/>
      <c r="S67" s="361" t="s">
        <v>1082</v>
      </c>
      <c r="T67" s="361"/>
    </row>
    <row r="68" spans="1:21" ht="17.5">
      <c r="A68" s="1016"/>
      <c r="B68" s="1017"/>
      <c r="D68" s="361" t="s">
        <v>1157</v>
      </c>
      <c r="E68" s="361" t="s">
        <v>1157</v>
      </c>
      <c r="F68" s="361" t="s">
        <v>458</v>
      </c>
      <c r="G68" s="546">
        <v>1017.5</v>
      </c>
      <c r="H68" s="361" t="s">
        <v>1114</v>
      </c>
      <c r="I68" s="546">
        <v>0.25</v>
      </c>
      <c r="J68" s="361" t="s">
        <v>1124</v>
      </c>
      <c r="K68" s="361"/>
      <c r="L68" s="361"/>
      <c r="M68" s="361"/>
      <c r="N68" s="546">
        <v>16.43873</v>
      </c>
      <c r="O68" s="361" t="s">
        <v>1115</v>
      </c>
      <c r="P68" s="361"/>
      <c r="Q68" s="361"/>
      <c r="R68" s="361"/>
      <c r="S68" s="361" t="s">
        <v>1082</v>
      </c>
      <c r="T68" s="361"/>
    </row>
    <row r="69" spans="1:21" ht="16.5">
      <c r="A69" s="1016"/>
      <c r="B69" s="1017"/>
      <c r="D69" s="361" t="s">
        <v>196</v>
      </c>
      <c r="E69" s="361" t="s">
        <v>196</v>
      </c>
      <c r="F69" s="361" t="s">
        <v>241</v>
      </c>
      <c r="G69" s="546"/>
      <c r="H69" s="361"/>
      <c r="I69" s="546"/>
      <c r="J69" s="361"/>
      <c r="K69" s="361"/>
      <c r="L69" s="361"/>
      <c r="M69" s="361"/>
      <c r="N69" s="546">
        <v>1.0602E-2</v>
      </c>
      <c r="O69" s="361" t="s">
        <v>1084</v>
      </c>
      <c r="P69" s="361"/>
      <c r="Q69" s="361"/>
      <c r="R69" s="361"/>
      <c r="S69" s="361" t="s">
        <v>1082</v>
      </c>
      <c r="T69" s="361"/>
    </row>
    <row r="70" spans="1:21" ht="16.5">
      <c r="A70" s="1016"/>
      <c r="B70" s="1017"/>
      <c r="D70" s="361" t="s">
        <v>1158</v>
      </c>
      <c r="E70" s="361" t="s">
        <v>1158</v>
      </c>
      <c r="F70" s="361" t="s">
        <v>1120</v>
      </c>
      <c r="G70" s="546">
        <v>5000</v>
      </c>
      <c r="H70" s="361" t="s">
        <v>1090</v>
      </c>
      <c r="I70" s="546"/>
      <c r="J70" s="361"/>
      <c r="K70" s="361"/>
      <c r="L70" s="361"/>
      <c r="M70" s="361"/>
      <c r="N70" s="546">
        <v>53.01</v>
      </c>
      <c r="O70" s="361" t="s">
        <v>1091</v>
      </c>
      <c r="P70" s="361"/>
      <c r="Q70" s="361"/>
      <c r="R70" s="361"/>
      <c r="S70" s="361" t="s">
        <v>1082</v>
      </c>
      <c r="T70" s="361"/>
    </row>
    <row r="71" spans="1:21" ht="17.5">
      <c r="A71" s="1016"/>
      <c r="B71" s="1017"/>
      <c r="D71" s="361" t="s">
        <v>1159</v>
      </c>
      <c r="E71" s="361" t="s">
        <v>1159</v>
      </c>
      <c r="F71" s="361" t="s">
        <v>458</v>
      </c>
      <c r="G71" s="546">
        <v>3333.3333333333335</v>
      </c>
      <c r="H71" s="361" t="s">
        <v>1114</v>
      </c>
      <c r="I71" s="546">
        <v>1.5</v>
      </c>
      <c r="J71" s="842" t="s">
        <v>1124</v>
      </c>
      <c r="K71" s="361"/>
      <c r="L71" s="361"/>
      <c r="M71" s="361"/>
      <c r="N71" s="546">
        <v>35.340000000000003</v>
      </c>
      <c r="O71" s="361" t="s">
        <v>1115</v>
      </c>
      <c r="P71" s="361"/>
      <c r="Q71" s="361"/>
      <c r="R71" s="361"/>
      <c r="S71" s="361" t="s">
        <v>1082</v>
      </c>
      <c r="T71" s="361"/>
    </row>
    <row r="72" spans="1:21" ht="16.5">
      <c r="A72" s="1016"/>
      <c r="B72" s="1017"/>
      <c r="D72" s="361" t="s">
        <v>1160</v>
      </c>
      <c r="E72" s="361" t="s">
        <v>1160</v>
      </c>
      <c r="F72" s="361" t="s">
        <v>241</v>
      </c>
      <c r="G72" s="546"/>
      <c r="H72" s="361"/>
      <c r="I72" s="546"/>
      <c r="J72" s="361"/>
      <c r="K72" s="361"/>
      <c r="L72" s="361"/>
      <c r="M72" s="361"/>
      <c r="N72" s="546">
        <v>0.43268699999999999</v>
      </c>
      <c r="O72" s="361" t="s">
        <v>1084</v>
      </c>
      <c r="P72" s="361"/>
      <c r="Q72" s="361"/>
      <c r="R72" s="361"/>
      <c r="S72" s="361" t="s">
        <v>1082</v>
      </c>
      <c r="T72" s="361"/>
    </row>
    <row r="73" spans="1:21" ht="16.5">
      <c r="A73" s="1016"/>
      <c r="B73" s="1017"/>
      <c r="D73" s="361" t="s">
        <v>1161</v>
      </c>
      <c r="E73" s="361" t="s">
        <v>1161</v>
      </c>
      <c r="F73" s="361" t="s">
        <v>1120</v>
      </c>
      <c r="G73" s="546">
        <v>8350.6944000000003</v>
      </c>
      <c r="H73" s="361" t="s">
        <v>1090</v>
      </c>
      <c r="I73" s="546"/>
      <c r="J73" s="361"/>
      <c r="K73" s="361"/>
      <c r="L73" s="361"/>
      <c r="M73" s="361"/>
      <c r="N73" s="546">
        <v>3613.2369078527995</v>
      </c>
      <c r="O73" s="361" t="s">
        <v>1091</v>
      </c>
      <c r="P73" s="361"/>
      <c r="Q73" s="361"/>
      <c r="R73" s="361"/>
      <c r="S73" s="361" t="s">
        <v>1082</v>
      </c>
      <c r="T73" s="361"/>
    </row>
    <row r="74" spans="1:21" ht="17.5">
      <c r="A74" s="1016"/>
      <c r="B74" s="1017"/>
      <c r="D74" s="361" t="s">
        <v>1162</v>
      </c>
      <c r="E74" s="361" t="s">
        <v>1162</v>
      </c>
      <c r="F74" s="361" t="s">
        <v>458</v>
      </c>
      <c r="G74" s="546">
        <v>6931.076352</v>
      </c>
      <c r="H74" s="361" t="s">
        <v>1114</v>
      </c>
      <c r="I74" s="546">
        <v>0.83</v>
      </c>
      <c r="J74" s="361" t="s">
        <v>1124</v>
      </c>
      <c r="K74" s="361"/>
      <c r="L74" s="361"/>
      <c r="M74" s="361"/>
      <c r="N74" s="546">
        <v>2998.9866335178235</v>
      </c>
      <c r="O74" s="361" t="s">
        <v>1115</v>
      </c>
      <c r="P74" s="361"/>
      <c r="Q74" s="361"/>
      <c r="R74" s="361"/>
      <c r="S74" s="361" t="s">
        <v>1082</v>
      </c>
      <c r="T74" s="361"/>
    </row>
    <row r="75" spans="1:21">
      <c r="A75" s="1016"/>
      <c r="B75" s="1017"/>
      <c r="D75" s="47"/>
      <c r="E75" s="47"/>
      <c r="F75" s="47"/>
      <c r="G75" s="107"/>
      <c r="H75" s="47"/>
      <c r="I75" s="107"/>
      <c r="J75" s="47"/>
      <c r="K75" s="107"/>
      <c r="L75" s="107"/>
      <c r="M75" s="107"/>
      <c r="N75" s="107"/>
      <c r="O75" s="47"/>
      <c r="P75" s="107"/>
      <c r="Q75" s="107"/>
      <c r="R75" s="47"/>
      <c r="S75" s="47"/>
      <c r="T75" s="102"/>
    </row>
    <row r="76" spans="1:21">
      <c r="A76" s="1016"/>
      <c r="B76" s="1017"/>
      <c r="D76" s="550"/>
      <c r="E76" s="547" t="s">
        <v>1066</v>
      </c>
      <c r="F76" s="11"/>
      <c r="G76" s="108"/>
      <c r="H76" s="11"/>
      <c r="I76" s="108"/>
      <c r="J76" s="11"/>
      <c r="K76" s="108"/>
      <c r="L76" s="108"/>
      <c r="M76" s="108"/>
      <c r="N76" s="108"/>
      <c r="O76" s="11"/>
      <c r="P76" s="108"/>
      <c r="Q76" s="108"/>
      <c r="R76" s="11"/>
      <c r="S76" s="11"/>
      <c r="T76" s="11"/>
      <c r="U76" s="102" t="s">
        <v>1163</v>
      </c>
    </row>
    <row r="77" spans="1:21">
      <c r="A77" s="1016"/>
      <c r="B77" s="1017"/>
      <c r="D77" s="550"/>
      <c r="E77" s="547" t="s">
        <v>1066</v>
      </c>
      <c r="F77" s="11"/>
      <c r="G77" s="108"/>
      <c r="H77" s="11"/>
      <c r="I77" s="108"/>
      <c r="J77" s="11"/>
      <c r="K77" s="108"/>
      <c r="L77" s="108"/>
      <c r="M77" s="108"/>
      <c r="N77" s="108"/>
      <c r="O77" s="11"/>
      <c r="P77" s="108"/>
      <c r="Q77" s="108"/>
      <c r="R77" s="11"/>
      <c r="S77" s="11"/>
      <c r="T77" s="11"/>
      <c r="U77" s="102" t="s">
        <v>1164</v>
      </c>
    </row>
    <row r="78" spans="1:21">
      <c r="A78" s="1016"/>
      <c r="B78" s="1017"/>
      <c r="D78" s="550"/>
      <c r="E78" s="547" t="s">
        <v>1066</v>
      </c>
      <c r="F78" s="11"/>
      <c r="G78" s="108"/>
      <c r="H78" s="11"/>
      <c r="I78" s="108"/>
      <c r="J78" s="11"/>
      <c r="K78" s="108"/>
      <c r="L78" s="108"/>
      <c r="M78" s="108"/>
      <c r="N78" s="108"/>
      <c r="O78" s="11"/>
      <c r="P78" s="108"/>
      <c r="Q78" s="108"/>
      <c r="R78" s="11"/>
      <c r="S78" s="11"/>
      <c r="T78" s="11"/>
      <c r="U78" s="102" t="s">
        <v>1855</v>
      </c>
    </row>
    <row r="79" spans="1:21">
      <c r="B79" s="109"/>
    </row>
    <row r="80" spans="1:21" ht="14.65" customHeight="1">
      <c r="A80" s="1016" t="s">
        <v>1165</v>
      </c>
      <c r="B80" s="1018" t="s">
        <v>1166</v>
      </c>
      <c r="D80" s="842" t="s">
        <v>1793</v>
      </c>
      <c r="E80" s="842" t="s">
        <v>1794</v>
      </c>
      <c r="F80" s="361" t="s">
        <v>416</v>
      </c>
      <c r="G80" s="361" t="s">
        <v>1069</v>
      </c>
      <c r="H80" s="361" t="s">
        <v>228</v>
      </c>
      <c r="I80" s="361" t="s">
        <v>1070</v>
      </c>
      <c r="J80" s="361" t="s">
        <v>415</v>
      </c>
      <c r="K80" s="361" t="s">
        <v>1071</v>
      </c>
      <c r="L80" s="361" t="s">
        <v>1072</v>
      </c>
      <c r="M80" s="361" t="s">
        <v>411</v>
      </c>
      <c r="N80" s="361" t="s">
        <v>362</v>
      </c>
      <c r="O80" s="361" t="s">
        <v>1073</v>
      </c>
      <c r="P80" s="361" t="s">
        <v>1074</v>
      </c>
      <c r="Q80" s="361" t="s">
        <v>1110</v>
      </c>
      <c r="R80" s="361" t="s">
        <v>1076</v>
      </c>
      <c r="S80" s="361" t="s">
        <v>229</v>
      </c>
      <c r="T80" s="361" t="s">
        <v>417</v>
      </c>
    </row>
    <row r="81" spans="1:20" ht="16.5">
      <c r="A81" s="1016"/>
      <c r="B81" s="1018"/>
      <c r="D81" s="551" t="s">
        <v>1167</v>
      </c>
      <c r="E81" s="551" t="s">
        <v>1167</v>
      </c>
      <c r="F81" s="551" t="s">
        <v>241</v>
      </c>
      <c r="G81" s="213"/>
      <c r="H81" s="212"/>
      <c r="I81" s="213"/>
      <c r="J81" s="212"/>
      <c r="K81" s="213"/>
      <c r="L81" s="213"/>
      <c r="M81" s="213"/>
      <c r="N81" s="213">
        <v>0.29297578063563862</v>
      </c>
      <c r="O81" s="548" t="s">
        <v>1084</v>
      </c>
      <c r="P81" s="213"/>
      <c r="Q81" s="213"/>
      <c r="R81" s="212"/>
      <c r="S81" s="548" t="s">
        <v>1082</v>
      </c>
      <c r="T81" s="214"/>
    </row>
    <row r="82" spans="1:20" ht="16.5">
      <c r="A82" s="1016"/>
      <c r="B82" s="1018"/>
      <c r="D82" s="552" t="s">
        <v>1168</v>
      </c>
      <c r="E82" s="552" t="s">
        <v>1168</v>
      </c>
      <c r="F82" s="551" t="s">
        <v>241</v>
      </c>
      <c r="G82" s="107"/>
      <c r="H82" s="47"/>
      <c r="I82" s="107"/>
      <c r="J82" s="47"/>
      <c r="K82" s="107"/>
      <c r="L82" s="107"/>
      <c r="M82" s="107"/>
      <c r="N82" s="107">
        <v>0.14346732185094452</v>
      </c>
      <c r="O82" s="548" t="s">
        <v>1084</v>
      </c>
      <c r="P82" s="107"/>
      <c r="Q82" s="107"/>
      <c r="R82" s="47"/>
      <c r="S82" s="548" t="s">
        <v>1082</v>
      </c>
      <c r="T82" s="102"/>
    </row>
    <row r="83" spans="1:20" ht="16.5">
      <c r="A83" s="1016"/>
      <c r="B83" s="1018"/>
      <c r="D83" s="552" t="s">
        <v>1169</v>
      </c>
      <c r="E83" s="552" t="s">
        <v>1169</v>
      </c>
      <c r="F83" s="551" t="s">
        <v>241</v>
      </c>
      <c r="G83" s="107"/>
      <c r="H83" s="47"/>
      <c r="I83" s="107"/>
      <c r="J83" s="47"/>
      <c r="K83" s="107"/>
      <c r="L83" s="107"/>
      <c r="M83" s="107"/>
      <c r="N83" s="107">
        <v>0.56880547185516861</v>
      </c>
      <c r="O83" s="548" t="s">
        <v>1084</v>
      </c>
      <c r="P83" s="107"/>
      <c r="Q83" s="107"/>
      <c r="R83" s="47"/>
      <c r="S83" s="548" t="s">
        <v>1082</v>
      </c>
      <c r="T83" s="102"/>
    </row>
    <row r="84" spans="1:20" ht="16.5">
      <c r="A84" s="1016"/>
      <c r="B84" s="1018"/>
      <c r="D84" s="552" t="s">
        <v>1170</v>
      </c>
      <c r="E84" s="552" t="s">
        <v>1170</v>
      </c>
      <c r="F84" s="551" t="s">
        <v>241</v>
      </c>
      <c r="G84" s="107"/>
      <c r="H84" s="47"/>
      <c r="I84" s="107"/>
      <c r="J84" s="47"/>
      <c r="K84" s="107"/>
      <c r="L84" s="107"/>
      <c r="M84" s="107"/>
      <c r="N84" s="107">
        <v>0.11032120467372879</v>
      </c>
      <c r="O84" s="548" t="s">
        <v>1084</v>
      </c>
      <c r="P84" s="107"/>
      <c r="Q84" s="107"/>
      <c r="R84" s="47"/>
      <c r="S84" s="548" t="s">
        <v>1082</v>
      </c>
      <c r="T84" s="102"/>
    </row>
    <row r="85" spans="1:20">
      <c r="A85" s="1016"/>
      <c r="B85" s="1018"/>
      <c r="D85" s="552" t="s">
        <v>189</v>
      </c>
      <c r="E85" s="552" t="s">
        <v>189</v>
      </c>
      <c r="F85" s="551" t="s">
        <v>241</v>
      </c>
      <c r="G85" s="107"/>
      <c r="H85" s="47"/>
      <c r="I85" s="107"/>
      <c r="J85" s="47"/>
      <c r="K85" s="107"/>
      <c r="L85" s="107"/>
      <c r="M85" s="107"/>
      <c r="N85" s="107">
        <v>7.0000000000000007E-2</v>
      </c>
      <c r="O85" s="548" t="s">
        <v>1171</v>
      </c>
      <c r="P85" s="107"/>
      <c r="Q85" s="107"/>
      <c r="R85" s="47"/>
      <c r="S85" s="548" t="s">
        <v>1085</v>
      </c>
      <c r="T85" s="102"/>
    </row>
    <row r="86" spans="1:20" ht="16.5">
      <c r="A86" s="1016"/>
      <c r="B86" s="1018"/>
      <c r="D86" s="552" t="s">
        <v>1172</v>
      </c>
      <c r="E86" s="552" t="s">
        <v>1172</v>
      </c>
      <c r="F86" s="551" t="s">
        <v>241</v>
      </c>
      <c r="G86" s="107"/>
      <c r="H86" s="47"/>
      <c r="I86" s="107"/>
      <c r="J86" s="47"/>
      <c r="K86" s="107"/>
      <c r="L86" s="107"/>
      <c r="M86" s="107"/>
      <c r="N86" s="107">
        <v>5.6065000000000004E-2</v>
      </c>
      <c r="O86" s="548" t="s">
        <v>1084</v>
      </c>
      <c r="P86" s="107"/>
      <c r="Q86" s="107"/>
      <c r="R86" s="47"/>
      <c r="S86" s="548" t="s">
        <v>1082</v>
      </c>
      <c r="T86" s="102"/>
    </row>
    <row r="87" spans="1:20" ht="16.5">
      <c r="A87" s="1016"/>
      <c r="B87" s="1018"/>
      <c r="D87" s="552" t="s">
        <v>1173</v>
      </c>
      <c r="E87" s="552" t="s">
        <v>1173</v>
      </c>
      <c r="F87" s="551" t="s">
        <v>241</v>
      </c>
      <c r="G87" s="107"/>
      <c r="H87" s="47"/>
      <c r="I87" s="107"/>
      <c r="J87" s="47"/>
      <c r="K87" s="107"/>
      <c r="L87" s="107"/>
      <c r="M87" s="107"/>
      <c r="N87" s="107">
        <v>3.8770681087215032E-3</v>
      </c>
      <c r="O87" s="548" t="s">
        <v>1084</v>
      </c>
      <c r="P87" s="107"/>
      <c r="Q87" s="107"/>
      <c r="R87" s="47"/>
      <c r="S87" s="548" t="s">
        <v>1082</v>
      </c>
      <c r="T87" s="102"/>
    </row>
    <row r="88" spans="1:20" ht="16.5">
      <c r="A88" s="1016"/>
      <c r="B88" s="1018"/>
      <c r="D88" s="361" t="s">
        <v>188</v>
      </c>
      <c r="E88" s="361" t="s">
        <v>188</v>
      </c>
      <c r="F88" s="551" t="s">
        <v>241</v>
      </c>
      <c r="G88" s="546"/>
      <c r="H88" s="361"/>
      <c r="I88" s="546"/>
      <c r="J88" s="361"/>
      <c r="K88" s="361"/>
      <c r="L88" s="361"/>
      <c r="M88" s="361"/>
      <c r="N88" s="546">
        <v>0.49803399999999998</v>
      </c>
      <c r="O88" s="548" t="s">
        <v>1084</v>
      </c>
      <c r="P88" s="361"/>
      <c r="Q88" s="361"/>
      <c r="R88" s="361"/>
      <c r="S88" s="548" t="s">
        <v>1082</v>
      </c>
      <c r="T88" s="361"/>
    </row>
    <row r="89" spans="1:20" ht="16.5">
      <c r="A89" s="1016"/>
      <c r="B89" s="1018"/>
      <c r="D89" s="552" t="s">
        <v>1174</v>
      </c>
      <c r="E89" s="552" t="s">
        <v>1174</v>
      </c>
      <c r="F89" s="551" t="s">
        <v>241</v>
      </c>
      <c r="G89" s="107"/>
      <c r="H89" s="47"/>
      <c r="I89" s="107"/>
      <c r="J89" s="47"/>
      <c r="K89" s="107"/>
      <c r="L89" s="107"/>
      <c r="M89" s="107"/>
      <c r="N89" s="107">
        <v>0.16642799999999999</v>
      </c>
      <c r="O89" s="548" t="s">
        <v>1084</v>
      </c>
      <c r="P89" s="107"/>
      <c r="Q89" s="107"/>
      <c r="R89" s="47"/>
      <c r="S89" s="548" t="s">
        <v>1082</v>
      </c>
      <c r="T89" s="507" t="s">
        <v>1175</v>
      </c>
    </row>
    <row r="90" spans="1:20" ht="16.5">
      <c r="A90" s="1016"/>
      <c r="B90" s="1018"/>
      <c r="D90" s="552" t="s">
        <v>1176</v>
      </c>
      <c r="E90" s="552" t="s">
        <v>1176</v>
      </c>
      <c r="F90" s="551" t="s">
        <v>241</v>
      </c>
      <c r="G90" s="107"/>
      <c r="H90" s="47"/>
      <c r="I90" s="107"/>
      <c r="J90" s="47"/>
      <c r="K90" s="107"/>
      <c r="L90" s="107"/>
      <c r="M90" s="107"/>
      <c r="N90" s="107">
        <v>3.4211200000000002E-3</v>
      </c>
      <c r="O90" s="548" t="s">
        <v>1084</v>
      </c>
      <c r="P90" s="107"/>
      <c r="Q90" s="107"/>
      <c r="R90" s="47"/>
      <c r="S90" s="548" t="s">
        <v>1082</v>
      </c>
      <c r="T90" s="102"/>
    </row>
    <row r="91" spans="1:20" ht="16.5">
      <c r="A91" s="1016"/>
      <c r="B91" s="1018"/>
      <c r="D91" s="552" t="s">
        <v>1177</v>
      </c>
      <c r="E91" s="552" t="s">
        <v>1177</v>
      </c>
      <c r="F91" s="551" t="s">
        <v>241</v>
      </c>
      <c r="G91" s="107"/>
      <c r="H91" s="47"/>
      <c r="I91" s="107"/>
      <c r="J91" s="47"/>
      <c r="K91" s="107"/>
      <c r="L91" s="107"/>
      <c r="M91" s="107"/>
      <c r="N91" s="107">
        <v>9.1859999999999997E-3</v>
      </c>
      <c r="O91" s="548" t="s">
        <v>1084</v>
      </c>
      <c r="P91" s="107"/>
      <c r="Q91" s="107"/>
      <c r="R91" s="47"/>
      <c r="S91" s="548" t="s">
        <v>1082</v>
      </c>
      <c r="T91" s="102"/>
    </row>
    <row r="92" spans="1:20" ht="16.5">
      <c r="A92" s="1016"/>
      <c r="B92" s="1018"/>
      <c r="D92" s="552" t="s">
        <v>1178</v>
      </c>
      <c r="E92" s="552" t="s">
        <v>1178</v>
      </c>
      <c r="F92" s="551" t="s">
        <v>241</v>
      </c>
      <c r="G92" s="107"/>
      <c r="H92" s="47"/>
      <c r="I92" s="107"/>
      <c r="J92" s="47"/>
      <c r="K92" s="107"/>
      <c r="L92" s="107"/>
      <c r="M92" s="107"/>
      <c r="N92" s="107">
        <v>1.6742E-2</v>
      </c>
      <c r="O92" s="548" t="s">
        <v>1084</v>
      </c>
      <c r="P92" s="107"/>
      <c r="Q92" s="107"/>
      <c r="R92" s="47"/>
      <c r="S92" s="548" t="s">
        <v>1082</v>
      </c>
      <c r="T92" s="102"/>
    </row>
    <row r="93" spans="1:20">
      <c r="A93" s="1016"/>
      <c r="B93" s="1018"/>
    </row>
    <row r="94" spans="1:20">
      <c r="A94" s="1016"/>
      <c r="B94" s="1018"/>
      <c r="D94" s="550"/>
      <c r="E94" s="547" t="s">
        <v>1066</v>
      </c>
      <c r="F94" s="11"/>
      <c r="G94" s="108"/>
      <c r="H94" s="11"/>
      <c r="I94" s="108"/>
      <c r="J94" s="11"/>
      <c r="K94" s="108"/>
      <c r="L94" s="108"/>
      <c r="M94" s="108"/>
      <c r="N94" s="108"/>
      <c r="O94" s="11"/>
      <c r="P94" s="108"/>
      <c r="Q94" s="108"/>
      <c r="R94" s="11"/>
      <c r="S94" s="11"/>
      <c r="T94" s="11"/>
    </row>
    <row r="95" spans="1:20">
      <c r="A95" s="1016"/>
      <c r="B95" s="1018"/>
      <c r="D95" s="550"/>
      <c r="E95" s="547" t="s">
        <v>1066</v>
      </c>
      <c r="F95" s="11"/>
      <c r="G95" s="108"/>
      <c r="H95" s="11"/>
      <c r="I95" s="108"/>
      <c r="J95" s="11"/>
      <c r="K95" s="108"/>
      <c r="L95" s="108"/>
      <c r="M95" s="108"/>
      <c r="N95" s="108"/>
      <c r="O95" s="11"/>
      <c r="P95" s="108"/>
      <c r="Q95" s="108"/>
      <c r="R95" s="11"/>
      <c r="S95" s="11"/>
      <c r="T95" s="11"/>
    </row>
    <row r="96" spans="1:20">
      <c r="A96" s="1016"/>
      <c r="B96" s="1018"/>
      <c r="D96" s="550"/>
      <c r="E96" s="547" t="s">
        <v>1066</v>
      </c>
      <c r="F96" s="11"/>
      <c r="G96" s="108"/>
      <c r="H96" s="11"/>
      <c r="I96" s="108"/>
      <c r="J96" s="11"/>
      <c r="K96" s="108"/>
      <c r="L96" s="108"/>
      <c r="M96" s="108"/>
      <c r="N96" s="108"/>
      <c r="O96" s="11"/>
      <c r="P96" s="108"/>
      <c r="Q96" s="108"/>
      <c r="R96" s="11"/>
      <c r="S96" s="11"/>
      <c r="T96" s="11"/>
    </row>
    <row r="97" spans="1:20">
      <c r="A97" s="1016"/>
      <c r="B97" s="1018"/>
      <c r="D97" s="550"/>
      <c r="E97" s="547" t="s">
        <v>1066</v>
      </c>
      <c r="F97" s="11"/>
      <c r="G97" s="108"/>
      <c r="H97" s="11"/>
      <c r="I97" s="108"/>
      <c r="J97" s="11"/>
      <c r="K97" s="108"/>
      <c r="L97" s="108"/>
      <c r="M97" s="108"/>
      <c r="N97" s="108"/>
      <c r="O97" s="11"/>
      <c r="P97" s="108"/>
      <c r="Q97" s="108"/>
      <c r="R97" s="11"/>
      <c r="S97" s="11"/>
      <c r="T97" s="11"/>
    </row>
    <row r="98" spans="1:20">
      <c r="A98" s="1016"/>
      <c r="B98" s="1018"/>
      <c r="D98" s="550"/>
      <c r="E98" s="547" t="s">
        <v>1066</v>
      </c>
      <c r="F98" s="11"/>
      <c r="G98" s="108"/>
      <c r="H98" s="11"/>
      <c r="I98" s="108"/>
      <c r="J98" s="11"/>
      <c r="K98" s="108"/>
      <c r="L98" s="108"/>
      <c r="M98" s="108"/>
      <c r="N98" s="108"/>
      <c r="O98" s="11"/>
      <c r="P98" s="108"/>
      <c r="Q98" s="108"/>
      <c r="R98" s="11"/>
      <c r="S98" s="11"/>
      <c r="T98" s="11"/>
    </row>
    <row r="99" spans="1:20">
      <c r="A99" s="1016"/>
      <c r="B99" s="1018"/>
      <c r="D99" s="550"/>
      <c r="E99" s="547" t="s">
        <v>1066</v>
      </c>
      <c r="F99" s="11"/>
      <c r="G99" s="108"/>
      <c r="H99" s="11"/>
      <c r="I99" s="108"/>
      <c r="J99" s="11"/>
      <c r="K99" s="108"/>
      <c r="L99" s="108"/>
      <c r="M99" s="108"/>
      <c r="N99" s="108"/>
      <c r="O99" s="11"/>
      <c r="P99" s="108"/>
      <c r="Q99" s="108"/>
      <c r="R99" s="11"/>
      <c r="S99" s="11"/>
      <c r="T99" s="11"/>
    </row>
    <row r="100" spans="1:20">
      <c r="A100" s="1016"/>
      <c r="B100" s="1018"/>
      <c r="D100" s="550"/>
      <c r="E100" s="547" t="s">
        <v>1066</v>
      </c>
      <c r="F100" s="11"/>
      <c r="G100" s="108"/>
      <c r="H100" s="11"/>
      <c r="I100" s="108"/>
      <c r="J100" s="11"/>
      <c r="K100" s="108"/>
      <c r="L100" s="108"/>
      <c r="M100" s="108"/>
      <c r="N100" s="108"/>
      <c r="O100" s="11"/>
      <c r="P100" s="108"/>
      <c r="Q100" s="108"/>
      <c r="R100" s="11"/>
      <c r="S100" s="11"/>
      <c r="T100" s="11"/>
    </row>
    <row r="101" spans="1:20">
      <c r="A101" s="1016"/>
      <c r="B101" s="1018"/>
      <c r="D101" s="550"/>
      <c r="E101" s="547" t="s">
        <v>1066</v>
      </c>
      <c r="F101" s="11"/>
      <c r="G101" s="108"/>
      <c r="H101" s="11"/>
      <c r="I101" s="108"/>
      <c r="J101" s="11"/>
      <c r="K101" s="108"/>
      <c r="L101" s="108"/>
      <c r="M101" s="108"/>
      <c r="N101" s="108"/>
      <c r="O101" s="11"/>
      <c r="P101" s="108"/>
      <c r="Q101" s="108"/>
      <c r="R101" s="11"/>
      <c r="S101" s="11"/>
      <c r="T101" s="11"/>
    </row>
    <row r="102" spans="1:20">
      <c r="A102" s="1016"/>
      <c r="B102" s="1018"/>
      <c r="D102" s="550"/>
      <c r="E102" s="547" t="s">
        <v>1066</v>
      </c>
      <c r="F102" s="11"/>
      <c r="G102" s="108"/>
      <c r="H102" s="11"/>
      <c r="I102" s="108"/>
      <c r="J102" s="11"/>
      <c r="K102" s="108"/>
      <c r="L102" s="108"/>
      <c r="M102" s="108"/>
      <c r="N102" s="108"/>
      <c r="O102" s="11"/>
      <c r="P102" s="108"/>
      <c r="Q102" s="108"/>
      <c r="R102" s="11"/>
      <c r="S102" s="11"/>
      <c r="T102" s="11"/>
    </row>
    <row r="103" spans="1:20">
      <c r="A103" s="1016"/>
      <c r="B103" s="1018"/>
      <c r="D103" s="550"/>
      <c r="E103" s="547" t="s">
        <v>1066</v>
      </c>
      <c r="F103" s="11"/>
      <c r="G103" s="108"/>
      <c r="H103" s="11"/>
      <c r="I103" s="108"/>
      <c r="J103" s="11"/>
      <c r="K103" s="108"/>
      <c r="L103" s="108"/>
      <c r="M103" s="108"/>
      <c r="N103" s="108"/>
      <c r="O103" s="11"/>
      <c r="P103" s="108"/>
      <c r="Q103" s="108"/>
      <c r="R103" s="11"/>
      <c r="S103" s="11"/>
      <c r="T103" s="11"/>
    </row>
    <row r="104" spans="1:20">
      <c r="B104" s="109"/>
      <c r="D104" s="47"/>
      <c r="E104" s="47"/>
      <c r="F104" s="47"/>
      <c r="G104" s="107"/>
      <c r="H104" s="47"/>
      <c r="I104" s="107"/>
      <c r="J104" s="47"/>
      <c r="K104" s="107"/>
      <c r="L104" s="107"/>
      <c r="M104" s="107"/>
      <c r="N104" s="107"/>
      <c r="O104" s="47"/>
      <c r="P104" s="107"/>
      <c r="Q104" s="107"/>
      <c r="R104" s="47"/>
      <c r="S104" s="47"/>
      <c r="T104" s="102"/>
    </row>
    <row r="105" spans="1:20">
      <c r="A105" s="1015" t="s">
        <v>1848</v>
      </c>
      <c r="B105" s="1015"/>
      <c r="D105" s="361" t="s">
        <v>251</v>
      </c>
      <c r="E105" s="361" t="s">
        <v>383</v>
      </c>
      <c r="F105" s="553" t="s">
        <v>1179</v>
      </c>
      <c r="G105" s="361" t="s">
        <v>1069</v>
      </c>
      <c r="H105" s="361" t="s">
        <v>228</v>
      </c>
      <c r="I105" s="361" t="s">
        <v>1070</v>
      </c>
      <c r="J105" s="361" t="s">
        <v>415</v>
      </c>
      <c r="K105" s="361" t="s">
        <v>1071</v>
      </c>
      <c r="L105" s="361" t="s">
        <v>1072</v>
      </c>
      <c r="M105" s="361" t="s">
        <v>411</v>
      </c>
      <c r="N105" s="361" t="s">
        <v>362</v>
      </c>
      <c r="O105" s="361" t="s">
        <v>1073</v>
      </c>
      <c r="P105" s="361" t="s">
        <v>1074</v>
      </c>
      <c r="Q105" s="361" t="s">
        <v>1110</v>
      </c>
      <c r="R105" s="361" t="s">
        <v>1076</v>
      </c>
      <c r="S105" s="361" t="s">
        <v>229</v>
      </c>
      <c r="T105" s="553" t="s">
        <v>417</v>
      </c>
    </row>
    <row r="106" spans="1:20" ht="14.65" hidden="1" customHeight="1">
      <c r="A106" s="1015"/>
      <c r="B106" s="1015"/>
      <c r="D106" s="361" t="s">
        <v>128</v>
      </c>
      <c r="E106" s="361" t="s">
        <v>128</v>
      </c>
      <c r="F106" s="554"/>
      <c r="G106" s="361"/>
      <c r="H106" s="361"/>
      <c r="I106" s="361"/>
      <c r="J106" s="361"/>
      <c r="K106" s="361"/>
      <c r="L106" s="361"/>
      <c r="M106" s="361"/>
      <c r="N106" s="546"/>
      <c r="O106" s="361"/>
      <c r="P106" s="546"/>
      <c r="Q106" s="361"/>
      <c r="R106" s="361"/>
      <c r="S106" s="361"/>
      <c r="T106" s="361"/>
    </row>
    <row r="107" spans="1:20" ht="14.65" hidden="1" customHeight="1">
      <c r="A107" s="1015"/>
      <c r="B107" s="1015"/>
      <c r="D107" s="966" t="s">
        <v>1849</v>
      </c>
      <c r="E107" s="966" t="s">
        <v>1849</v>
      </c>
      <c r="F107" s="554"/>
      <c r="G107" s="361"/>
      <c r="H107" s="361"/>
      <c r="I107" s="361"/>
      <c r="J107" s="361"/>
      <c r="K107" s="361"/>
      <c r="L107" s="361"/>
      <c r="M107" s="361"/>
      <c r="N107" s="546"/>
      <c r="O107" s="361"/>
      <c r="P107" s="546"/>
      <c r="Q107" s="361"/>
      <c r="R107" s="361"/>
      <c r="S107" s="361"/>
      <c r="T107" s="361"/>
    </row>
    <row r="108" spans="1:20" ht="14.65" customHeight="1">
      <c r="A108" s="1015"/>
      <c r="B108" s="1015"/>
      <c r="D108" s="842" t="s">
        <v>1770</v>
      </c>
      <c r="E108" s="361" t="s">
        <v>1180</v>
      </c>
      <c r="F108" s="361" t="s">
        <v>1181</v>
      </c>
      <c r="G108" s="361"/>
      <c r="H108" s="361"/>
      <c r="I108" s="361"/>
      <c r="J108" s="361"/>
      <c r="K108" s="361"/>
      <c r="L108" s="361"/>
      <c r="M108" s="361"/>
      <c r="N108" s="546">
        <v>4.623066E-2</v>
      </c>
      <c r="O108" s="361" t="s">
        <v>1182</v>
      </c>
      <c r="P108" s="546"/>
      <c r="Q108" s="361"/>
      <c r="R108" s="361"/>
      <c r="S108" s="361" t="s">
        <v>1082</v>
      </c>
      <c r="T108" s="361" t="s">
        <v>1183</v>
      </c>
    </row>
    <row r="109" spans="1:20">
      <c r="A109" s="1015"/>
      <c r="B109" s="1015"/>
      <c r="D109" s="842" t="s">
        <v>1769</v>
      </c>
      <c r="E109" s="361" t="s">
        <v>1184</v>
      </c>
      <c r="F109" s="361" t="s">
        <v>1185</v>
      </c>
      <c r="G109" s="361"/>
      <c r="H109" s="361"/>
      <c r="I109" s="361"/>
      <c r="J109" s="361"/>
      <c r="K109" s="546">
        <v>24.42</v>
      </c>
      <c r="L109" s="546">
        <v>0.86899999999999999</v>
      </c>
      <c r="M109" s="546">
        <v>2670.8</v>
      </c>
      <c r="N109" s="546">
        <v>2.8090000000000002</v>
      </c>
      <c r="O109" s="361" t="s">
        <v>1186</v>
      </c>
      <c r="P109" s="546">
        <v>23.21</v>
      </c>
      <c r="Q109" s="546">
        <v>25.36</v>
      </c>
      <c r="R109" s="361" t="s">
        <v>1187</v>
      </c>
      <c r="S109" s="361" t="s">
        <v>1188</v>
      </c>
      <c r="T109"/>
    </row>
    <row r="110" spans="1:20">
      <c r="A110" s="1015"/>
      <c r="B110" s="1015"/>
      <c r="D110" s="842" t="s">
        <v>1744</v>
      </c>
      <c r="E110" s="361" t="s">
        <v>1189</v>
      </c>
      <c r="F110" s="361" t="s">
        <v>1181</v>
      </c>
      <c r="G110" s="361"/>
      <c r="H110" s="361"/>
      <c r="I110" s="361"/>
      <c r="J110" s="361"/>
      <c r="K110" s="546">
        <v>0.12</v>
      </c>
      <c r="L110" s="546">
        <v>4.0000000000000001E-3</v>
      </c>
      <c r="M110" s="546">
        <v>13.6</v>
      </c>
      <c r="N110" s="546">
        <v>1.44E-2</v>
      </c>
      <c r="O110" s="361" t="s">
        <v>1182</v>
      </c>
      <c r="P110" s="546">
        <v>0.11</v>
      </c>
      <c r="Q110" s="546">
        <v>0.13</v>
      </c>
      <c r="R110" s="361" t="s">
        <v>1190</v>
      </c>
      <c r="S110" s="361" t="s">
        <v>1188</v>
      </c>
      <c r="T110"/>
    </row>
    <row r="111" spans="1:20">
      <c r="A111" s="1015"/>
      <c r="B111" s="1015"/>
      <c r="C111" s="4"/>
      <c r="D111" s="842" t="s">
        <v>1745</v>
      </c>
      <c r="E111" s="361" t="s">
        <v>1191</v>
      </c>
      <c r="F111" s="361" t="s">
        <v>1185</v>
      </c>
      <c r="G111" s="361"/>
      <c r="H111" s="361"/>
      <c r="I111" s="361"/>
      <c r="J111" s="361"/>
      <c r="K111" s="546">
        <v>12.9</v>
      </c>
      <c r="L111" s="546">
        <v>0.45100000000000001</v>
      </c>
      <c r="M111" s="546">
        <v>1497.1</v>
      </c>
      <c r="N111" s="546">
        <v>1.5865</v>
      </c>
      <c r="O111" s="361" t="s">
        <v>1186</v>
      </c>
      <c r="P111" s="546">
        <v>12.43</v>
      </c>
      <c r="Q111" s="546">
        <v>14.3</v>
      </c>
      <c r="R111" s="361" t="s">
        <v>1187</v>
      </c>
      <c r="S111" s="361" t="s">
        <v>1188</v>
      </c>
      <c r="T111"/>
    </row>
    <row r="112" spans="1:20">
      <c r="A112" s="1015"/>
      <c r="B112" s="1015"/>
      <c r="C112" s="4"/>
      <c r="D112" s="361" t="s">
        <v>1192</v>
      </c>
      <c r="E112" s="361" t="s">
        <v>1193</v>
      </c>
      <c r="F112" s="361" t="s">
        <v>1181</v>
      </c>
      <c r="G112" s="361"/>
      <c r="H112" s="361"/>
      <c r="I112" s="361"/>
      <c r="J112" s="361"/>
      <c r="K112" s="546">
        <v>0.14000000000000001</v>
      </c>
      <c r="L112" s="546">
        <v>1.7000000000000001E-2</v>
      </c>
      <c r="M112" s="546">
        <v>90.1</v>
      </c>
      <c r="N112" s="546">
        <v>9.5899999999999999E-2</v>
      </c>
      <c r="O112" s="361" t="s">
        <v>1182</v>
      </c>
      <c r="P112" s="546">
        <v>0.18</v>
      </c>
      <c r="Q112" s="546">
        <v>0.5</v>
      </c>
      <c r="R112" s="361" t="s">
        <v>1190</v>
      </c>
      <c r="S112" s="361" t="s">
        <v>1188</v>
      </c>
      <c r="T112"/>
    </row>
    <row r="113" spans="1:20">
      <c r="A113" s="1015"/>
      <c r="B113" s="1015"/>
      <c r="C113" s="4"/>
      <c r="D113" s="361" t="s">
        <v>1194</v>
      </c>
      <c r="E113" s="361" t="s">
        <v>1195</v>
      </c>
      <c r="F113" s="361" t="s">
        <v>1185</v>
      </c>
      <c r="G113" s="361"/>
      <c r="H113" s="361"/>
      <c r="I113" s="361"/>
      <c r="J113" s="361"/>
      <c r="K113" s="546">
        <v>0.16</v>
      </c>
      <c r="L113" s="546">
        <v>0.02</v>
      </c>
      <c r="M113" s="546">
        <v>103.4</v>
      </c>
      <c r="N113" s="546">
        <v>0.11009999999999999</v>
      </c>
      <c r="O113" s="361" t="s">
        <v>1186</v>
      </c>
      <c r="P113" s="546">
        <v>0.21</v>
      </c>
      <c r="Q113" s="546">
        <v>0.56999999999999995</v>
      </c>
      <c r="R113" s="361" t="s">
        <v>1187</v>
      </c>
      <c r="S113" s="361" t="s">
        <v>1188</v>
      </c>
      <c r="T113" s="361"/>
    </row>
    <row r="114" spans="1:20">
      <c r="A114" s="1015"/>
      <c r="B114" s="1015"/>
      <c r="C114" s="4"/>
      <c r="D114" s="361" t="s">
        <v>1196</v>
      </c>
      <c r="E114" s="361" t="s">
        <v>1197</v>
      </c>
      <c r="F114" s="361" t="s">
        <v>1181</v>
      </c>
      <c r="G114" s="361"/>
      <c r="H114" s="361"/>
      <c r="I114" s="361"/>
      <c r="J114" s="361"/>
      <c r="K114" s="546">
        <v>0.12</v>
      </c>
      <c r="L114" s="546">
        <v>1.7000000000000001E-2</v>
      </c>
      <c r="M114" s="546">
        <v>78.900000000000006</v>
      </c>
      <c r="N114" s="546">
        <v>8.4500000000000006E-2</v>
      </c>
      <c r="O114" s="361" t="s">
        <v>1182</v>
      </c>
      <c r="P114" s="546">
        <v>0.18</v>
      </c>
      <c r="Q114" s="546">
        <v>0.45</v>
      </c>
      <c r="R114" s="361" t="s">
        <v>1190</v>
      </c>
      <c r="S114" s="361" t="s">
        <v>1188</v>
      </c>
      <c r="T114" s="361"/>
    </row>
    <row r="115" spans="1:20">
      <c r="A115" s="1015"/>
      <c r="B115" s="1015"/>
      <c r="C115" s="4"/>
      <c r="D115" s="361" t="s">
        <v>1198</v>
      </c>
      <c r="E115" s="361" t="s">
        <v>1199</v>
      </c>
      <c r="F115" s="361" t="s">
        <v>1185</v>
      </c>
      <c r="G115" s="361"/>
      <c r="H115" s="361"/>
      <c r="I115" s="361"/>
      <c r="J115" s="361"/>
      <c r="K115" s="546">
        <v>0.14000000000000001</v>
      </c>
      <c r="L115" s="546">
        <v>1.9E-2</v>
      </c>
      <c r="M115" s="546">
        <v>90.6</v>
      </c>
      <c r="N115" s="546">
        <v>9.7000000000000003E-2</v>
      </c>
      <c r="O115" s="361" t="s">
        <v>1186</v>
      </c>
      <c r="P115" s="546">
        <v>0.21</v>
      </c>
      <c r="Q115" s="546">
        <v>0.52</v>
      </c>
      <c r="R115" s="361" t="s">
        <v>1187</v>
      </c>
      <c r="S115" s="361" t="s">
        <v>1188</v>
      </c>
      <c r="T115" s="361"/>
    </row>
    <row r="116" spans="1:20">
      <c r="A116" s="1015"/>
      <c r="B116" s="1015"/>
      <c r="C116" s="4"/>
      <c r="D116" s="842" t="s">
        <v>1746</v>
      </c>
      <c r="E116" s="361" t="s">
        <v>1200</v>
      </c>
      <c r="F116" s="361" t="s">
        <v>1181</v>
      </c>
      <c r="G116" s="361"/>
      <c r="H116" s="361"/>
      <c r="I116" s="361"/>
      <c r="J116" s="361"/>
      <c r="K116" s="546">
        <v>0.1</v>
      </c>
      <c r="L116" s="546">
        <v>1.7000000000000001E-2</v>
      </c>
      <c r="M116" s="546">
        <v>47.6</v>
      </c>
      <c r="N116" s="546">
        <v>5.16E-2</v>
      </c>
      <c r="O116" s="361" t="s">
        <v>1182</v>
      </c>
      <c r="P116" s="546">
        <v>0.18</v>
      </c>
      <c r="Q116" s="546">
        <v>0.43</v>
      </c>
      <c r="R116" s="361" t="s">
        <v>1190</v>
      </c>
      <c r="S116" s="361" t="s">
        <v>1188</v>
      </c>
      <c r="T116" s="361"/>
    </row>
    <row r="117" spans="1:20">
      <c r="A117" s="1015"/>
      <c r="B117" s="1015"/>
      <c r="C117" s="4"/>
      <c r="D117" s="842" t="s">
        <v>1747</v>
      </c>
      <c r="E117" s="361" t="s">
        <v>1201</v>
      </c>
      <c r="F117" s="361" t="s">
        <v>1185</v>
      </c>
      <c r="G117" s="361"/>
      <c r="H117" s="361"/>
      <c r="I117" s="361"/>
      <c r="J117" s="361"/>
      <c r="K117" s="546">
        <v>0.11</v>
      </c>
      <c r="L117" s="546">
        <v>1.9E-2</v>
      </c>
      <c r="M117" s="546">
        <v>54.7</v>
      </c>
      <c r="N117" s="546">
        <v>5.9299999999999999E-2</v>
      </c>
      <c r="O117" s="361" t="s">
        <v>1186</v>
      </c>
      <c r="P117" s="546">
        <v>0.21</v>
      </c>
      <c r="Q117" s="546">
        <v>0.49</v>
      </c>
      <c r="R117" s="361" t="s">
        <v>1187</v>
      </c>
      <c r="S117" s="361" t="s">
        <v>1188</v>
      </c>
      <c r="T117" s="361"/>
    </row>
    <row r="118" spans="1:20">
      <c r="A118" s="1015"/>
      <c r="B118" s="1015"/>
      <c r="C118" s="4"/>
      <c r="D118" s="842" t="s">
        <v>1748</v>
      </c>
      <c r="E118" s="361" t="s">
        <v>1202</v>
      </c>
      <c r="F118" s="361" t="s">
        <v>1185</v>
      </c>
      <c r="G118" s="361"/>
      <c r="H118" s="361"/>
      <c r="I118" s="361"/>
      <c r="J118" s="361"/>
      <c r="K118" s="546"/>
      <c r="L118" s="546"/>
      <c r="M118" s="546"/>
      <c r="N118" s="546">
        <v>6.1919999999999996E-2</v>
      </c>
      <c r="O118" s="361" t="s">
        <v>1186</v>
      </c>
      <c r="P118" s="546"/>
      <c r="Q118" s="546">
        <v>1.2</v>
      </c>
      <c r="R118" s="361" t="s">
        <v>1187</v>
      </c>
      <c r="S118" s="361" t="s">
        <v>1203</v>
      </c>
      <c r="T118" s="361"/>
    </row>
    <row r="119" spans="1:20">
      <c r="A119" s="1015"/>
      <c r="B119" s="1015"/>
      <c r="C119" s="4"/>
      <c r="D119" s="842" t="s">
        <v>1749</v>
      </c>
      <c r="E119" s="361" t="s">
        <v>1204</v>
      </c>
      <c r="F119" s="361" t="s">
        <v>1185</v>
      </c>
      <c r="G119" s="361"/>
      <c r="H119" s="361"/>
      <c r="I119" s="361"/>
      <c r="J119" s="361"/>
      <c r="K119" s="546"/>
      <c r="L119" s="546"/>
      <c r="M119" s="546"/>
      <c r="N119" s="546">
        <v>0.22</v>
      </c>
      <c r="O119" s="361" t="s">
        <v>1186</v>
      </c>
      <c r="P119" s="546"/>
      <c r="Q119" s="546">
        <v>1.2</v>
      </c>
      <c r="R119" s="361" t="s">
        <v>1187</v>
      </c>
      <c r="S119" s="361" t="s">
        <v>1203</v>
      </c>
      <c r="T119" s="361"/>
    </row>
    <row r="120" spans="1:20">
      <c r="A120" s="1015"/>
      <c r="B120" s="1015"/>
      <c r="C120" s="4"/>
      <c r="D120" s="361" t="s">
        <v>1205</v>
      </c>
      <c r="E120" s="361" t="s">
        <v>1206</v>
      </c>
      <c r="F120" s="361" t="s">
        <v>458</v>
      </c>
      <c r="G120" s="361">
        <v>0.186</v>
      </c>
      <c r="H120" s="361" t="s">
        <v>1207</v>
      </c>
      <c r="I120" s="361"/>
      <c r="J120" s="361"/>
      <c r="K120" s="361"/>
      <c r="L120" s="361"/>
      <c r="M120" s="361"/>
      <c r="N120" s="546">
        <v>0.57193158600000005</v>
      </c>
      <c r="O120" s="361" t="s">
        <v>1208</v>
      </c>
      <c r="P120" s="546"/>
      <c r="Q120" s="361"/>
      <c r="R120" s="361"/>
      <c r="S120" s="361" t="s">
        <v>1209</v>
      </c>
      <c r="T120" s="361"/>
    </row>
    <row r="121" spans="1:20">
      <c r="A121" s="1015"/>
      <c r="B121" s="1015"/>
      <c r="C121" s="4"/>
      <c r="D121" s="361" t="s">
        <v>1210</v>
      </c>
      <c r="E121" s="361" t="s">
        <v>1211</v>
      </c>
      <c r="F121" s="361" t="s">
        <v>458</v>
      </c>
      <c r="G121" s="361">
        <v>0.56889800000000001</v>
      </c>
      <c r="H121" s="361" t="s">
        <v>1207</v>
      </c>
      <c r="I121" s="361"/>
      <c r="J121" s="361"/>
      <c r="K121" s="546"/>
      <c r="L121" s="546"/>
      <c r="M121" s="546"/>
      <c r="N121" s="546">
        <v>1.7493050290980001</v>
      </c>
      <c r="O121" s="361" t="s">
        <v>1208</v>
      </c>
      <c r="P121" s="546"/>
      <c r="Q121" s="361"/>
      <c r="R121" s="361"/>
      <c r="S121" s="361" t="s">
        <v>1209</v>
      </c>
      <c r="T121" s="361"/>
    </row>
    <row r="122" spans="1:20">
      <c r="A122" s="1015"/>
      <c r="B122" s="1015"/>
      <c r="C122" s="4"/>
      <c r="D122" s="842" t="s">
        <v>1739</v>
      </c>
      <c r="E122" s="361" t="s">
        <v>1212</v>
      </c>
      <c r="F122" s="361" t="s">
        <v>1181</v>
      </c>
      <c r="G122" s="361"/>
      <c r="H122" s="361"/>
      <c r="I122" s="361"/>
      <c r="J122" s="361"/>
      <c r="K122" s="546">
        <v>0.77</v>
      </c>
      <c r="L122" s="546">
        <v>5.3999999999999999E-2</v>
      </c>
      <c r="M122" s="546">
        <v>171.1</v>
      </c>
      <c r="N122" s="546">
        <v>0.41489999999999999</v>
      </c>
      <c r="O122" s="361" t="s">
        <v>1182</v>
      </c>
      <c r="P122" s="546">
        <v>0.54</v>
      </c>
      <c r="Q122" s="546">
        <v>0.6</v>
      </c>
      <c r="R122" s="361" t="s">
        <v>1190</v>
      </c>
      <c r="S122" s="361" t="s">
        <v>1188</v>
      </c>
      <c r="T122" s="361"/>
    </row>
    <row r="123" spans="1:20">
      <c r="A123" s="1015"/>
      <c r="B123" s="1015"/>
      <c r="C123" s="4"/>
      <c r="D123" s="842" t="s">
        <v>1750</v>
      </c>
      <c r="E123" s="361" t="s">
        <v>1213</v>
      </c>
      <c r="F123" s="361" t="s">
        <v>1185</v>
      </c>
      <c r="G123" s="361"/>
      <c r="H123" s="361"/>
      <c r="I123" s="361"/>
      <c r="J123" s="361"/>
      <c r="K123" s="546">
        <v>73.680000000000007</v>
      </c>
      <c r="L123" s="546">
        <v>5132</v>
      </c>
      <c r="M123" s="546">
        <v>16341.1</v>
      </c>
      <c r="N123" s="546">
        <v>39.623100000000001</v>
      </c>
      <c r="O123" s="361" t="s">
        <v>1186</v>
      </c>
      <c r="P123" s="546">
        <v>51.33</v>
      </c>
      <c r="Q123" s="546">
        <v>57.45</v>
      </c>
      <c r="R123" s="361" t="s">
        <v>1187</v>
      </c>
      <c r="S123" s="361" t="s">
        <v>1188</v>
      </c>
      <c r="T123" s="361"/>
    </row>
    <row r="124" spans="1:20">
      <c r="A124" s="1015"/>
      <c r="B124" s="1015"/>
      <c r="C124" s="4"/>
      <c r="D124" s="842" t="s">
        <v>1740</v>
      </c>
      <c r="E124" s="361" t="s">
        <v>1214</v>
      </c>
      <c r="F124" s="361" t="s">
        <v>1181</v>
      </c>
      <c r="G124" s="361"/>
      <c r="H124" s="361"/>
      <c r="I124" s="361"/>
      <c r="J124" s="361"/>
      <c r="K124" s="546">
        <v>1.06</v>
      </c>
      <c r="L124" s="546">
        <v>9.5000000000000001E-2</v>
      </c>
      <c r="M124" s="546">
        <v>296.60000000000002</v>
      </c>
      <c r="N124" s="546">
        <v>0.71950000000000003</v>
      </c>
      <c r="O124" s="361" t="s">
        <v>1182</v>
      </c>
      <c r="P124" s="546">
        <v>0.93</v>
      </c>
      <c r="Q124" s="546">
        <v>1.04</v>
      </c>
      <c r="R124" s="361" t="s">
        <v>1190</v>
      </c>
      <c r="S124" s="361" t="s">
        <v>1188</v>
      </c>
      <c r="T124" s="361"/>
    </row>
    <row r="125" spans="1:20">
      <c r="A125" s="1015"/>
      <c r="B125" s="1015"/>
      <c r="C125" s="4"/>
      <c r="D125" s="842" t="s">
        <v>1751</v>
      </c>
      <c r="E125" s="361" t="s">
        <v>1215</v>
      </c>
      <c r="F125" s="361" t="s">
        <v>1185</v>
      </c>
      <c r="G125" s="361"/>
      <c r="H125" s="361"/>
      <c r="I125" s="361"/>
      <c r="J125" s="361"/>
      <c r="K125" s="546">
        <v>39.92</v>
      </c>
      <c r="L125" s="546">
        <v>3596</v>
      </c>
      <c r="M125" s="546">
        <v>11213.6</v>
      </c>
      <c r="N125" s="546">
        <v>27.202900000000003</v>
      </c>
      <c r="O125" s="361" t="s">
        <v>1186</v>
      </c>
      <c r="P125" s="546">
        <v>35.229999999999997</v>
      </c>
      <c r="Q125" s="546">
        <v>39.42</v>
      </c>
      <c r="R125" s="361" t="s">
        <v>1187</v>
      </c>
      <c r="S125" s="361" t="s">
        <v>1188</v>
      </c>
      <c r="T125" s="361"/>
    </row>
    <row r="126" spans="1:20">
      <c r="A126" s="1015"/>
      <c r="B126" s="1015"/>
      <c r="C126" s="4"/>
      <c r="D126" s="842" t="s">
        <v>1741</v>
      </c>
      <c r="E126" s="361" t="s">
        <v>1216</v>
      </c>
      <c r="F126" s="361" t="s">
        <v>1181</v>
      </c>
      <c r="G126" s="361"/>
      <c r="H126" s="361"/>
      <c r="I126" s="361"/>
      <c r="J126" s="361"/>
      <c r="K126" s="546">
        <v>0.79</v>
      </c>
      <c r="L126" s="546">
        <v>5.3999999999999999E-2</v>
      </c>
      <c r="M126" s="546">
        <v>175.2</v>
      </c>
      <c r="N126" s="546">
        <v>0.42619999999999997</v>
      </c>
      <c r="O126" s="361" t="s">
        <v>1182</v>
      </c>
      <c r="P126" s="546">
        <v>0.54</v>
      </c>
      <c r="Q126" s="546">
        <v>0.6</v>
      </c>
      <c r="R126" s="361" t="s">
        <v>1190</v>
      </c>
      <c r="S126" s="361" t="s">
        <v>1188</v>
      </c>
      <c r="T126" s="361"/>
    </row>
    <row r="127" spans="1:20">
      <c r="A127" s="1015"/>
      <c r="B127" s="1015"/>
      <c r="C127" s="4"/>
      <c r="D127" s="842" t="s">
        <v>1752</v>
      </c>
      <c r="E127" s="361" t="s">
        <v>1217</v>
      </c>
      <c r="F127" s="361" t="s">
        <v>1185</v>
      </c>
      <c r="G127" s="361"/>
      <c r="H127" s="361"/>
      <c r="I127" s="361"/>
      <c r="J127" s="361"/>
      <c r="K127" s="546">
        <v>74.430000000000007</v>
      </c>
      <c r="L127" s="546">
        <v>5092</v>
      </c>
      <c r="M127" s="546">
        <v>16512.7</v>
      </c>
      <c r="N127" s="546">
        <v>40.154600000000002</v>
      </c>
      <c r="O127" s="361" t="s">
        <v>1186</v>
      </c>
      <c r="P127" s="546">
        <v>50.97</v>
      </c>
      <c r="Q127" s="546">
        <v>56.69</v>
      </c>
      <c r="R127" s="361" t="s">
        <v>1187</v>
      </c>
      <c r="S127" s="361" t="s">
        <v>1188</v>
      </c>
      <c r="T127" s="361"/>
    </row>
    <row r="128" spans="1:20">
      <c r="A128" s="1015"/>
      <c r="B128" s="1015"/>
      <c r="C128" s="4"/>
      <c r="D128" s="361" t="s">
        <v>1218</v>
      </c>
      <c r="E128" s="361" t="s">
        <v>1219</v>
      </c>
      <c r="F128" s="361" t="s">
        <v>1220</v>
      </c>
      <c r="G128" s="361"/>
      <c r="H128" s="361"/>
      <c r="I128" s="361"/>
      <c r="J128" s="361"/>
      <c r="K128" s="546"/>
      <c r="L128" s="546"/>
      <c r="M128" s="546"/>
      <c r="N128" s="546">
        <v>3.3549999999999996E-2</v>
      </c>
      <c r="O128" s="361" t="s">
        <v>1221</v>
      </c>
      <c r="P128" s="546"/>
      <c r="Q128" s="546"/>
      <c r="R128" s="361"/>
      <c r="S128" s="361" t="s">
        <v>1082</v>
      </c>
      <c r="T128" s="361" t="s">
        <v>1222</v>
      </c>
    </row>
    <row r="129" spans="1:20">
      <c r="A129" s="1015"/>
      <c r="B129" s="1015"/>
      <c r="C129" s="4"/>
      <c r="D129" s="842" t="s">
        <v>1742</v>
      </c>
      <c r="E129" s="361" t="s">
        <v>1223</v>
      </c>
      <c r="F129" s="361" t="s">
        <v>1181</v>
      </c>
      <c r="G129" s="361"/>
      <c r="H129" s="361"/>
      <c r="I129" s="361"/>
      <c r="J129" s="361"/>
      <c r="K129" s="546">
        <v>0.25</v>
      </c>
      <c r="L129" s="546">
        <v>7.0000000000000001E-3</v>
      </c>
      <c r="M129" s="546">
        <v>49.4</v>
      </c>
      <c r="N129" s="546">
        <v>5.1299999999999998E-2</v>
      </c>
      <c r="O129" s="361" t="s">
        <v>1182</v>
      </c>
      <c r="P129" s="546">
        <v>0.15</v>
      </c>
      <c r="Q129" s="546">
        <v>0.19</v>
      </c>
      <c r="R129" s="361" t="s">
        <v>1190</v>
      </c>
      <c r="S129" s="361" t="s">
        <v>1188</v>
      </c>
      <c r="T129" s="361"/>
    </row>
    <row r="130" spans="1:20">
      <c r="A130" s="1015"/>
      <c r="B130" s="1015"/>
      <c r="C130" s="4"/>
      <c r="D130" s="842" t="s">
        <v>1743</v>
      </c>
      <c r="E130" s="361" t="s">
        <v>1224</v>
      </c>
      <c r="F130" s="361" t="s">
        <v>1185</v>
      </c>
      <c r="G130" s="361"/>
      <c r="H130" s="361"/>
      <c r="I130" s="361"/>
      <c r="J130" s="361"/>
      <c r="K130" s="546">
        <v>4.74</v>
      </c>
      <c r="L130" s="546">
        <v>0.125</v>
      </c>
      <c r="M130" s="546">
        <v>929.1</v>
      </c>
      <c r="N130" s="546">
        <v>0.96450000000000002</v>
      </c>
      <c r="O130" s="361" t="s">
        <v>1186</v>
      </c>
      <c r="P130" s="546">
        <v>2.82</v>
      </c>
      <c r="Q130" s="546">
        <v>3.65</v>
      </c>
      <c r="R130" s="361" t="s">
        <v>1187</v>
      </c>
      <c r="S130" s="361" t="s">
        <v>1188</v>
      </c>
      <c r="T130" s="361"/>
    </row>
    <row r="131" spans="1:20">
      <c r="A131" s="1015"/>
      <c r="B131" s="1015"/>
      <c r="C131" s="4"/>
      <c r="D131" s="842" t="s">
        <v>1753</v>
      </c>
      <c r="E131" s="361" t="s">
        <v>1225</v>
      </c>
      <c r="F131" s="361" t="s">
        <v>1185</v>
      </c>
      <c r="G131" s="361"/>
      <c r="H131" s="361"/>
      <c r="I131" s="361"/>
      <c r="J131" s="361"/>
      <c r="K131" s="546">
        <v>2.63</v>
      </c>
      <c r="L131" s="546">
        <v>9.4E-2</v>
      </c>
      <c r="M131" s="546">
        <v>870.1</v>
      </c>
      <c r="N131" s="546">
        <v>0.90410000000000001</v>
      </c>
      <c r="O131" s="361" t="s">
        <v>1186</v>
      </c>
      <c r="P131" s="546">
        <v>2.82</v>
      </c>
      <c r="Q131" s="546">
        <v>3.49</v>
      </c>
      <c r="R131" s="361" t="s">
        <v>1187</v>
      </c>
      <c r="S131" s="361" t="s">
        <v>1188</v>
      </c>
      <c r="T131" s="361"/>
    </row>
    <row r="132" spans="1:20">
      <c r="A132" s="1015"/>
      <c r="B132" s="1015"/>
      <c r="C132" s="4"/>
      <c r="D132" s="842" t="s">
        <v>1754</v>
      </c>
      <c r="E132" s="361" t="s">
        <v>1226</v>
      </c>
      <c r="F132" s="361" t="s">
        <v>1185</v>
      </c>
      <c r="G132" s="361"/>
      <c r="H132" s="361"/>
      <c r="I132" s="361"/>
      <c r="J132" s="361"/>
      <c r="K132" s="546">
        <v>0.97</v>
      </c>
      <c r="L132" s="546">
        <v>5.3999999999999999E-2</v>
      </c>
      <c r="M132" s="546">
        <v>282.60000000000002</v>
      </c>
      <c r="N132" s="546">
        <v>0.29289999999999999</v>
      </c>
      <c r="O132" s="361" t="s">
        <v>1186</v>
      </c>
      <c r="P132" s="546">
        <v>0.83</v>
      </c>
      <c r="Q132" s="546">
        <v>1.1299999999999999</v>
      </c>
      <c r="R132" s="361" t="s">
        <v>1187</v>
      </c>
      <c r="S132" s="361" t="s">
        <v>1188</v>
      </c>
      <c r="T132" s="361"/>
    </row>
    <row r="133" spans="1:20">
      <c r="A133" s="1015"/>
      <c r="B133" s="1015"/>
      <c r="C133" s="4"/>
      <c r="D133" s="842" t="s">
        <v>1755</v>
      </c>
      <c r="E133" s="361" t="s">
        <v>1227</v>
      </c>
      <c r="F133" s="361" t="s">
        <v>1185</v>
      </c>
      <c r="G133" s="361"/>
      <c r="H133" s="361"/>
      <c r="I133" s="361"/>
      <c r="J133" s="361"/>
      <c r="K133" s="546">
        <v>2.72</v>
      </c>
      <c r="L133" s="546">
        <v>7.6999999999999999E-2</v>
      </c>
      <c r="M133" s="546">
        <v>561.1</v>
      </c>
      <c r="N133" s="546">
        <v>0.58520000000000005</v>
      </c>
      <c r="O133" s="361" t="s">
        <v>1186</v>
      </c>
      <c r="P133" s="546">
        <v>1.84</v>
      </c>
      <c r="Q133" s="546">
        <v>2.2400000000000002</v>
      </c>
      <c r="R133" s="361" t="s">
        <v>1187</v>
      </c>
      <c r="S133" s="361" t="s">
        <v>1188</v>
      </c>
      <c r="T133" s="361"/>
    </row>
    <row r="134" spans="1:20">
      <c r="A134" s="1015"/>
      <c r="B134" s="1015"/>
      <c r="C134" s="4"/>
      <c r="D134" s="842" t="s">
        <v>1756</v>
      </c>
      <c r="E134" s="361" t="s">
        <v>1228</v>
      </c>
      <c r="F134" s="361" t="s">
        <v>1185</v>
      </c>
      <c r="G134" s="361"/>
      <c r="H134" s="361"/>
      <c r="I134" s="361"/>
      <c r="J134" s="361"/>
      <c r="K134" s="546">
        <v>4.24</v>
      </c>
      <c r="L134" s="546">
        <v>0.122</v>
      </c>
      <c r="M134" s="546">
        <v>968.8</v>
      </c>
      <c r="N134" s="546">
        <v>1.0058</v>
      </c>
      <c r="O134" s="361" t="s">
        <v>1186</v>
      </c>
      <c r="P134" s="546">
        <v>3.12</v>
      </c>
      <c r="Q134" s="546">
        <v>3.89</v>
      </c>
      <c r="R134" s="361" t="s">
        <v>1187</v>
      </c>
      <c r="S134" s="361" t="s">
        <v>1188</v>
      </c>
      <c r="T134" s="361"/>
    </row>
    <row r="135" spans="1:20">
      <c r="A135" s="1015"/>
      <c r="B135" s="1015"/>
      <c r="C135" s="4"/>
      <c r="D135" s="842" t="s">
        <v>1229</v>
      </c>
      <c r="E135" s="361" t="s">
        <v>1230</v>
      </c>
      <c r="F135" s="361" t="s">
        <v>1231</v>
      </c>
      <c r="G135" s="361"/>
      <c r="H135" s="361"/>
      <c r="I135" s="361"/>
      <c r="J135" s="361"/>
      <c r="K135" s="546"/>
      <c r="L135" s="546"/>
      <c r="M135" s="546"/>
      <c r="N135" s="546">
        <v>0.58132292074060976</v>
      </c>
      <c r="O135" s="361" t="s">
        <v>1232</v>
      </c>
      <c r="P135" s="546"/>
      <c r="Q135" s="546"/>
      <c r="R135" s="361"/>
      <c r="S135" s="361" t="s">
        <v>1082</v>
      </c>
      <c r="T135" s="361"/>
    </row>
    <row r="136" spans="1:20">
      <c r="A136" s="1015"/>
      <c r="B136" s="1015"/>
      <c r="C136" s="4"/>
      <c r="D136" s="361" t="s">
        <v>1233</v>
      </c>
      <c r="E136" s="361" t="s">
        <v>1234</v>
      </c>
      <c r="F136" s="361" t="s">
        <v>1231</v>
      </c>
      <c r="G136" s="361"/>
      <c r="H136" s="361"/>
      <c r="I136" s="361"/>
      <c r="J136" s="361"/>
      <c r="K136" s="546"/>
      <c r="L136" s="546"/>
      <c r="M136" s="546"/>
      <c r="N136" s="546">
        <v>0.156</v>
      </c>
      <c r="O136" s="361" t="s">
        <v>1232</v>
      </c>
      <c r="P136" s="546"/>
      <c r="Q136" s="546"/>
      <c r="R136" s="361"/>
      <c r="S136" s="361" t="s">
        <v>1082</v>
      </c>
      <c r="T136" s="361" t="s">
        <v>1235</v>
      </c>
    </row>
    <row r="137" spans="1:20">
      <c r="A137" s="1015"/>
      <c r="B137" s="1015"/>
      <c r="C137" s="4"/>
      <c r="D137" s="361" t="s">
        <v>1236</v>
      </c>
      <c r="E137" s="361" t="s">
        <v>1237</v>
      </c>
      <c r="F137" s="361" t="s">
        <v>1181</v>
      </c>
      <c r="G137" s="361"/>
      <c r="H137" s="361"/>
      <c r="I137" s="361"/>
      <c r="J137" s="361"/>
      <c r="K137" s="546">
        <v>0.26</v>
      </c>
      <c r="L137" s="546">
        <v>2.9000000000000001E-2</v>
      </c>
      <c r="M137" s="546">
        <v>220.2</v>
      </c>
      <c r="N137" s="546">
        <v>0.2271</v>
      </c>
      <c r="O137" s="361" t="s">
        <v>1182</v>
      </c>
      <c r="P137" s="546">
        <v>0.56999999999999995</v>
      </c>
      <c r="Q137" s="546">
        <v>0.87</v>
      </c>
      <c r="R137" s="361" t="s">
        <v>1190</v>
      </c>
      <c r="S137" s="361" t="s">
        <v>1188</v>
      </c>
      <c r="T137" s="361"/>
    </row>
    <row r="138" spans="1:20">
      <c r="A138" s="1015"/>
      <c r="B138" s="1015"/>
      <c r="C138" s="4"/>
      <c r="D138" s="361" t="s">
        <v>1238</v>
      </c>
      <c r="E138" s="361" t="s">
        <v>1239</v>
      </c>
      <c r="F138" s="361" t="s">
        <v>1185</v>
      </c>
      <c r="G138" s="361"/>
      <c r="H138" s="361"/>
      <c r="I138" s="361"/>
      <c r="J138" s="361"/>
      <c r="K138" s="546">
        <v>0.28999999999999998</v>
      </c>
      <c r="L138" s="546">
        <v>3.3000000000000002E-2</v>
      </c>
      <c r="M138" s="546">
        <v>252.8</v>
      </c>
      <c r="N138" s="546">
        <v>0.26069999999999999</v>
      </c>
      <c r="O138" s="361" t="s">
        <v>1186</v>
      </c>
      <c r="P138" s="546">
        <v>0.66</v>
      </c>
      <c r="Q138" s="546">
        <v>1</v>
      </c>
      <c r="R138" s="361" t="s">
        <v>1187</v>
      </c>
      <c r="S138" s="361" t="s">
        <v>1188</v>
      </c>
      <c r="T138" s="361"/>
    </row>
    <row r="139" spans="1:20">
      <c r="A139" s="1015"/>
      <c r="B139" s="1015"/>
      <c r="C139" s="4"/>
      <c r="D139" s="361" t="s">
        <v>1240</v>
      </c>
      <c r="E139" s="361" t="s">
        <v>1241</v>
      </c>
      <c r="F139" s="361" t="s">
        <v>1181</v>
      </c>
      <c r="G139" s="361"/>
      <c r="H139" s="361"/>
      <c r="I139" s="361"/>
      <c r="J139" s="361"/>
      <c r="K139" s="546">
        <v>0.73</v>
      </c>
      <c r="L139" s="546">
        <v>0.03</v>
      </c>
      <c r="M139" s="546">
        <v>203.5</v>
      </c>
      <c r="N139" s="546">
        <v>0.21149999999999999</v>
      </c>
      <c r="O139" s="361" t="s">
        <v>1182</v>
      </c>
      <c r="P139" s="546">
        <v>0.59</v>
      </c>
      <c r="Q139" s="546">
        <v>0.81</v>
      </c>
      <c r="R139" s="361" t="s">
        <v>1190</v>
      </c>
      <c r="S139" s="361" t="s">
        <v>1188</v>
      </c>
      <c r="T139" s="361"/>
    </row>
    <row r="140" spans="1:20">
      <c r="A140" s="1015"/>
      <c r="B140" s="1015"/>
      <c r="C140" s="4"/>
      <c r="D140" s="361" t="s">
        <v>1242</v>
      </c>
      <c r="E140" s="361" t="s">
        <v>1243</v>
      </c>
      <c r="F140" s="361" t="s">
        <v>1185</v>
      </c>
      <c r="G140" s="361"/>
      <c r="H140" s="361"/>
      <c r="I140" s="361"/>
      <c r="J140" s="361"/>
      <c r="K140" s="546">
        <v>0.84</v>
      </c>
      <c r="L140" s="546">
        <v>3.5000000000000003E-2</v>
      </c>
      <c r="M140" s="546">
        <v>233.6</v>
      </c>
      <c r="N140" s="546">
        <v>0.2429</v>
      </c>
      <c r="O140" s="361" t="s">
        <v>1186</v>
      </c>
      <c r="P140" s="546">
        <v>0.67</v>
      </c>
      <c r="Q140" s="546">
        <v>0.93</v>
      </c>
      <c r="R140" s="361" t="s">
        <v>1187</v>
      </c>
      <c r="S140" s="361" t="s">
        <v>1188</v>
      </c>
      <c r="T140" s="361"/>
    </row>
    <row r="141" spans="1:20">
      <c r="A141" s="1015"/>
      <c r="B141" s="1015"/>
      <c r="C141" s="4"/>
      <c r="D141" s="361" t="s">
        <v>1244</v>
      </c>
      <c r="E141" s="361" t="s">
        <v>1245</v>
      </c>
      <c r="F141" s="361" t="s">
        <v>1181</v>
      </c>
      <c r="G141" s="361"/>
      <c r="H141" s="361"/>
      <c r="I141" s="361"/>
      <c r="J141" s="361"/>
      <c r="K141" s="546">
        <v>0.59</v>
      </c>
      <c r="L141" s="546">
        <v>0.03</v>
      </c>
      <c r="M141" s="546">
        <v>208.7</v>
      </c>
      <c r="N141" s="546">
        <v>0.2165</v>
      </c>
      <c r="O141" s="361" t="s">
        <v>1182</v>
      </c>
      <c r="P141" s="546">
        <v>0.57999999999999996</v>
      </c>
      <c r="Q141" s="546">
        <v>0.83</v>
      </c>
      <c r="R141" s="361" t="s">
        <v>1190</v>
      </c>
      <c r="S141" s="361" t="s">
        <v>1188</v>
      </c>
      <c r="T141" s="361"/>
    </row>
    <row r="142" spans="1:20">
      <c r="A142" s="1015"/>
      <c r="B142" s="1015"/>
      <c r="C142" s="4"/>
      <c r="D142" s="361" t="s">
        <v>1246</v>
      </c>
      <c r="E142" s="361" t="s">
        <v>1247</v>
      </c>
      <c r="F142" s="361" t="s">
        <v>1185</v>
      </c>
      <c r="G142" s="361"/>
      <c r="H142" s="361"/>
      <c r="I142" s="361"/>
      <c r="J142" s="361"/>
      <c r="K142" s="546">
        <v>0.67</v>
      </c>
      <c r="L142" s="546">
        <v>3.4000000000000002E-2</v>
      </c>
      <c r="M142" s="546">
        <v>239.6</v>
      </c>
      <c r="N142" s="546">
        <v>0.2485</v>
      </c>
      <c r="O142" s="361" t="s">
        <v>1186</v>
      </c>
      <c r="P142" s="546">
        <v>0.67</v>
      </c>
      <c r="Q142" s="546">
        <v>0.95</v>
      </c>
      <c r="R142" s="361" t="s">
        <v>1187</v>
      </c>
      <c r="S142" s="361" t="s">
        <v>1188</v>
      </c>
      <c r="T142" s="361"/>
    </row>
    <row r="143" spans="1:20">
      <c r="A143" s="1015"/>
      <c r="B143" s="1015"/>
      <c r="C143" s="4"/>
      <c r="D143" s="361" t="s">
        <v>1248</v>
      </c>
      <c r="E143" s="361" t="s">
        <v>1249</v>
      </c>
      <c r="F143" s="361" t="s">
        <v>1181</v>
      </c>
      <c r="G143" s="361"/>
      <c r="H143" s="361"/>
      <c r="I143" s="361"/>
      <c r="J143" s="361"/>
      <c r="K143" s="546">
        <v>0.21</v>
      </c>
      <c r="L143" s="546">
        <v>7.0000000000000001E-3</v>
      </c>
      <c r="M143" s="546">
        <v>55.8</v>
      </c>
      <c r="N143" s="546">
        <v>5.79E-2</v>
      </c>
      <c r="O143" s="361" t="s">
        <v>1182</v>
      </c>
      <c r="P143" s="546">
        <v>0.17</v>
      </c>
      <c r="Q143" s="546">
        <v>0.22</v>
      </c>
      <c r="R143" s="361" t="s">
        <v>1190</v>
      </c>
      <c r="S143" s="361" t="s">
        <v>1188</v>
      </c>
      <c r="T143" s="361"/>
    </row>
    <row r="144" spans="1:20">
      <c r="A144" s="1015"/>
      <c r="B144" s="1015"/>
      <c r="C144" s="4"/>
      <c r="D144" s="361" t="s">
        <v>1250</v>
      </c>
      <c r="E144" s="361" t="s">
        <v>1251</v>
      </c>
      <c r="F144" s="361" t="s">
        <v>1185</v>
      </c>
      <c r="G144" s="361"/>
      <c r="H144" s="361"/>
      <c r="I144" s="361"/>
      <c r="J144" s="361"/>
      <c r="K144" s="546">
        <v>4.0199999999999996</v>
      </c>
      <c r="L144" s="546">
        <v>0.128</v>
      </c>
      <c r="M144" s="546">
        <v>1048.5</v>
      </c>
      <c r="N144" s="546">
        <v>1.0880000000000001</v>
      </c>
      <c r="O144" s="361" t="s">
        <v>1186</v>
      </c>
      <c r="P144" s="546">
        <v>3.24</v>
      </c>
      <c r="Q144" s="546">
        <v>4.13</v>
      </c>
      <c r="R144" s="361" t="s">
        <v>1187</v>
      </c>
      <c r="S144" s="361" t="s">
        <v>1188</v>
      </c>
      <c r="T144" s="361"/>
    </row>
    <row r="145" spans="1:21">
      <c r="A145" s="1015"/>
      <c r="B145" s="1015"/>
      <c r="C145" s="4"/>
      <c r="D145" s="361" t="s">
        <v>1252</v>
      </c>
      <c r="E145" s="361" t="s">
        <v>1253</v>
      </c>
      <c r="F145" s="361" t="s">
        <v>1185</v>
      </c>
      <c r="G145" s="361"/>
      <c r="H145" s="361"/>
      <c r="I145" s="361"/>
      <c r="J145" s="361"/>
      <c r="K145" s="546">
        <v>2.0699999999999998</v>
      </c>
      <c r="L145" s="546">
        <v>9.1999999999999998E-2</v>
      </c>
      <c r="M145" s="546">
        <v>983.5</v>
      </c>
      <c r="N145" s="546">
        <v>1.0211000000000001</v>
      </c>
      <c r="O145" s="361" t="s">
        <v>1186</v>
      </c>
      <c r="P145" s="546">
        <v>3.16</v>
      </c>
      <c r="Q145" s="546">
        <v>3.98</v>
      </c>
      <c r="R145" s="361" t="s">
        <v>1187</v>
      </c>
      <c r="S145" s="361" t="s">
        <v>1188</v>
      </c>
      <c r="T145" s="361"/>
    </row>
    <row r="146" spans="1:21">
      <c r="A146" s="1015"/>
      <c r="B146" s="1015"/>
      <c r="C146" s="4"/>
      <c r="D146" s="361" t="s">
        <v>1254</v>
      </c>
      <c r="E146" s="361" t="s">
        <v>1254</v>
      </c>
      <c r="F146" s="842" t="s">
        <v>1757</v>
      </c>
      <c r="G146" s="361"/>
      <c r="H146" s="361"/>
      <c r="I146" s="361"/>
      <c r="J146" s="361"/>
      <c r="K146" s="546"/>
      <c r="L146" s="546"/>
      <c r="M146" s="546"/>
      <c r="N146" s="546">
        <f>4*N26</f>
        <v>49.2</v>
      </c>
      <c r="O146" s="361" t="s">
        <v>1255</v>
      </c>
      <c r="P146" s="546"/>
      <c r="Q146" s="546"/>
      <c r="R146" s="361"/>
      <c r="S146" s="361" t="s">
        <v>1256</v>
      </c>
      <c r="T146" s="361"/>
    </row>
    <row r="147" spans="1:21">
      <c r="A147" s="1015"/>
      <c r="B147" s="1015"/>
      <c r="C147" s="4"/>
      <c r="D147" s="361" t="s">
        <v>1257</v>
      </c>
      <c r="E147" s="361" t="s">
        <v>1258</v>
      </c>
      <c r="F147" s="361" t="s">
        <v>1231</v>
      </c>
      <c r="G147" s="361"/>
      <c r="H147" s="361"/>
      <c r="I147" s="361"/>
      <c r="J147" s="361"/>
      <c r="K147" s="546"/>
      <c r="L147" s="546"/>
      <c r="M147" s="546"/>
      <c r="N147" s="546">
        <v>7.5514046816655439E-2</v>
      </c>
      <c r="O147" s="361" t="s">
        <v>1232</v>
      </c>
      <c r="P147" s="546"/>
      <c r="Q147" s="546"/>
      <c r="R147" s="361"/>
      <c r="S147" s="361" t="s">
        <v>1082</v>
      </c>
      <c r="T147" s="361"/>
    </row>
    <row r="148" spans="1:21">
      <c r="A148" s="1015"/>
      <c r="B148" s="1015"/>
      <c r="C148" s="4"/>
      <c r="D148" s="842" t="s">
        <v>1758</v>
      </c>
      <c r="E148" s="361" t="s">
        <v>1259</v>
      </c>
      <c r="F148" s="361" t="s">
        <v>1185</v>
      </c>
      <c r="G148" s="361"/>
      <c r="H148" s="361"/>
      <c r="I148" s="361"/>
      <c r="J148" s="361"/>
      <c r="K148" s="546"/>
      <c r="L148" s="546"/>
      <c r="M148" s="546"/>
      <c r="N148" s="546">
        <f>0.2076*N59</f>
        <v>6.4926069599999997E-2</v>
      </c>
      <c r="O148" s="361" t="s">
        <v>1186</v>
      </c>
      <c r="P148" s="546"/>
      <c r="Q148" s="546"/>
      <c r="R148" s="361"/>
      <c r="S148" s="361" t="s">
        <v>1260</v>
      </c>
      <c r="T148" s="361"/>
    </row>
    <row r="149" spans="1:21">
      <c r="A149" s="1015"/>
      <c r="B149" s="1015"/>
      <c r="C149" s="4"/>
      <c r="D149" s="842" t="s">
        <v>1759</v>
      </c>
      <c r="E149" s="361" t="s">
        <v>1261</v>
      </c>
      <c r="F149" s="842" t="s">
        <v>1757</v>
      </c>
      <c r="G149" s="361"/>
      <c r="H149" s="361"/>
      <c r="I149" s="361"/>
      <c r="J149" s="361"/>
      <c r="K149" s="546"/>
      <c r="L149" s="546"/>
      <c r="M149" s="546"/>
      <c r="N149" s="546">
        <f>15*N59</f>
        <v>4.6911899999999997</v>
      </c>
      <c r="O149" s="361" t="s">
        <v>1255</v>
      </c>
      <c r="P149" s="546"/>
      <c r="Q149" s="546"/>
      <c r="R149" s="361"/>
      <c r="S149" s="361" t="s">
        <v>1260</v>
      </c>
      <c r="T149" s="361"/>
    </row>
    <row r="150" spans="1:21">
      <c r="A150" s="1015"/>
      <c r="B150" s="1015"/>
      <c r="C150" s="4"/>
      <c r="D150" s="507"/>
      <c r="E150" s="507"/>
      <c r="F150" s="507"/>
      <c r="G150" s="549"/>
      <c r="H150" s="507"/>
      <c r="I150" s="549"/>
      <c r="J150" s="507"/>
      <c r="K150" s="549"/>
      <c r="L150" s="549"/>
      <c r="M150" s="549"/>
      <c r="N150" s="549"/>
      <c r="O150" s="507"/>
      <c r="P150" s="549"/>
      <c r="Q150" s="549"/>
      <c r="R150" s="507"/>
      <c r="S150" s="507"/>
    </row>
    <row r="151" spans="1:21">
      <c r="A151" s="1015"/>
      <c r="B151" s="1015"/>
      <c r="D151" s="547" t="s">
        <v>1066</v>
      </c>
      <c r="E151" s="550"/>
      <c r="F151" s="11"/>
      <c r="G151" s="108"/>
      <c r="H151" s="11"/>
      <c r="I151" s="108"/>
      <c r="J151" s="11"/>
      <c r="K151" s="108"/>
      <c r="L151" s="108"/>
      <c r="M151" s="108"/>
      <c r="N151" s="108"/>
      <c r="O151" s="11"/>
      <c r="P151" s="108"/>
      <c r="Q151" s="108"/>
      <c r="R151" s="11"/>
      <c r="S151" s="11"/>
      <c r="T151" s="11"/>
    </row>
    <row r="152" spans="1:21">
      <c r="A152" s="1015"/>
      <c r="B152" s="1015"/>
      <c r="D152" s="547" t="s">
        <v>1066</v>
      </c>
      <c r="E152" s="550"/>
      <c r="F152" s="11"/>
      <c r="G152" s="108"/>
      <c r="H152" s="11"/>
      <c r="I152" s="108"/>
      <c r="J152" s="11"/>
      <c r="K152" s="108"/>
      <c r="L152" s="108"/>
      <c r="M152" s="108"/>
      <c r="N152" s="108"/>
      <c r="O152" s="11"/>
      <c r="P152" s="108"/>
      <c r="Q152" s="108"/>
      <c r="R152" s="11"/>
      <c r="S152" s="11"/>
      <c r="T152" s="11"/>
      <c r="U152" s="102" t="s">
        <v>1163</v>
      </c>
    </row>
    <row r="153" spans="1:21">
      <c r="A153" s="1015"/>
      <c r="B153" s="1015"/>
      <c r="D153" s="547" t="s">
        <v>1066</v>
      </c>
      <c r="E153" s="550"/>
      <c r="F153" s="11"/>
      <c r="G153" s="108"/>
      <c r="H153" s="11"/>
      <c r="I153" s="108"/>
      <c r="J153" s="11"/>
      <c r="K153" s="108"/>
      <c r="L153" s="108"/>
      <c r="M153" s="108"/>
      <c r="N153" s="108"/>
      <c r="O153" s="11"/>
      <c r="P153" s="108"/>
      <c r="Q153" s="108"/>
      <c r="R153" s="11"/>
      <c r="S153" s="11"/>
      <c r="T153" s="11"/>
      <c r="U153" s="102" t="s">
        <v>1851</v>
      </c>
    </row>
    <row r="154" spans="1:21">
      <c r="A154" s="1015"/>
      <c r="B154" s="1015"/>
      <c r="D154" s="547" t="s">
        <v>1066</v>
      </c>
      <c r="E154" s="550"/>
      <c r="F154" s="11"/>
      <c r="G154" s="108"/>
      <c r="H154" s="11"/>
      <c r="I154" s="108"/>
      <c r="J154" s="11"/>
      <c r="K154" s="108"/>
      <c r="L154" s="108"/>
      <c r="M154" s="108"/>
      <c r="N154" s="108"/>
      <c r="O154" s="11"/>
      <c r="P154" s="108"/>
      <c r="Q154" s="108"/>
      <c r="R154" s="11"/>
      <c r="S154" s="11"/>
      <c r="T154" s="11"/>
      <c r="U154" s="102" t="s">
        <v>1852</v>
      </c>
    </row>
    <row r="155" spans="1:21">
      <c r="A155" s="1015"/>
      <c r="B155" s="1015"/>
      <c r="D155" s="547" t="s">
        <v>1066</v>
      </c>
      <c r="E155" s="550"/>
      <c r="F155" s="11"/>
      <c r="G155" s="108"/>
      <c r="H155" s="11"/>
      <c r="I155" s="108"/>
      <c r="J155" s="11"/>
      <c r="K155" s="108"/>
      <c r="L155" s="108"/>
      <c r="M155" s="108"/>
      <c r="N155" s="108"/>
      <c r="O155" s="11"/>
      <c r="P155" s="108"/>
      <c r="Q155" s="108"/>
      <c r="R155" s="11"/>
      <c r="S155" s="11"/>
      <c r="T155" s="11"/>
      <c r="U155" s="102" t="s">
        <v>1853</v>
      </c>
    </row>
    <row r="156" spans="1:21">
      <c r="A156" s="1015"/>
      <c r="B156" s="1015"/>
      <c r="D156" s="547" t="s">
        <v>1066</v>
      </c>
      <c r="E156" s="550"/>
      <c r="F156" s="11"/>
      <c r="G156" s="108"/>
      <c r="H156" s="11"/>
      <c r="I156" s="108"/>
      <c r="J156" s="11"/>
      <c r="K156" s="108"/>
      <c r="L156" s="108"/>
      <c r="M156" s="108"/>
      <c r="N156" s="108"/>
      <c r="O156" s="11"/>
      <c r="P156" s="108"/>
      <c r="Q156" s="108"/>
      <c r="R156" s="11"/>
      <c r="S156" s="11"/>
      <c r="T156" s="11"/>
    </row>
    <row r="157" spans="1:21">
      <c r="G157" s="4"/>
      <c r="I157" s="4"/>
      <c r="K157" s="4"/>
      <c r="L157" s="4"/>
      <c r="M157" s="4"/>
      <c r="N157" s="4"/>
      <c r="P157" s="4"/>
      <c r="Q157" s="4"/>
    </row>
    <row r="158" spans="1:21">
      <c r="A158" s="1015" t="s">
        <v>248</v>
      </c>
      <c r="B158" s="1015"/>
      <c r="D158" s="361" t="s">
        <v>251</v>
      </c>
      <c r="E158" s="361" t="s">
        <v>383</v>
      </c>
      <c r="F158" s="361" t="s">
        <v>416</v>
      </c>
      <c r="G158" s="361" t="s">
        <v>1069</v>
      </c>
      <c r="H158" s="361" t="s">
        <v>228</v>
      </c>
      <c r="I158" s="361" t="s">
        <v>1070</v>
      </c>
      <c r="J158" s="361" t="s">
        <v>415</v>
      </c>
      <c r="K158" s="361" t="s">
        <v>1071</v>
      </c>
      <c r="L158" s="361" t="s">
        <v>1072</v>
      </c>
      <c r="M158" s="361" t="s">
        <v>411</v>
      </c>
      <c r="N158" s="361" t="s">
        <v>362</v>
      </c>
      <c r="O158" s="361" t="s">
        <v>1073</v>
      </c>
      <c r="P158" s="361" t="s">
        <v>1074</v>
      </c>
      <c r="Q158" s="361" t="s">
        <v>1110</v>
      </c>
      <c r="R158" s="361" t="s">
        <v>1076</v>
      </c>
      <c r="S158" s="361" t="s">
        <v>229</v>
      </c>
      <c r="T158" s="361" t="s">
        <v>417</v>
      </c>
    </row>
    <row r="159" spans="1:21" hidden="1">
      <c r="A159" s="1015"/>
      <c r="B159" s="1015"/>
      <c r="D159" s="555" t="s">
        <v>128</v>
      </c>
      <c r="E159" s="555" t="s">
        <v>128</v>
      </c>
      <c r="F159" s="555"/>
      <c r="G159" s="556"/>
      <c r="H159" s="555"/>
      <c r="I159" s="556"/>
      <c r="J159" s="555"/>
      <c r="K159" s="556"/>
      <c r="L159" s="556"/>
      <c r="M159" s="556"/>
      <c r="N159" s="556"/>
      <c r="O159" s="555"/>
      <c r="P159" s="556"/>
      <c r="Q159" s="556"/>
      <c r="R159" s="555"/>
      <c r="S159" s="555"/>
    </row>
    <row r="160" spans="1:21" ht="16.5">
      <c r="A160" s="1015"/>
      <c r="B160" s="1015"/>
      <c r="C160" s="4"/>
      <c r="D160" s="361" t="s">
        <v>1262</v>
      </c>
      <c r="E160" s="361" t="s">
        <v>1263</v>
      </c>
      <c r="F160" s="361" t="s">
        <v>1264</v>
      </c>
      <c r="G160" s="361"/>
      <c r="H160" s="361"/>
      <c r="I160" s="361"/>
      <c r="J160" s="361"/>
      <c r="K160" s="361"/>
      <c r="L160" s="361"/>
      <c r="M160" s="361"/>
      <c r="N160" s="546">
        <v>2.8919000000000002E-3</v>
      </c>
      <c r="O160" s="361" t="s">
        <v>1265</v>
      </c>
      <c r="P160" s="546"/>
      <c r="Q160" s="546">
        <v>4.2950000000000002E-2</v>
      </c>
      <c r="R160" s="361" t="s">
        <v>1266</v>
      </c>
      <c r="S160" s="361" t="s">
        <v>1267</v>
      </c>
      <c r="T160" s="361"/>
    </row>
    <row r="161" spans="1:21" ht="16.5">
      <c r="A161" s="1015"/>
      <c r="B161" s="1015"/>
      <c r="C161" s="4"/>
      <c r="D161" s="361" t="s">
        <v>1268</v>
      </c>
      <c r="E161" s="361" t="s">
        <v>1269</v>
      </c>
      <c r="F161" s="361" t="s">
        <v>1264</v>
      </c>
      <c r="G161" s="361"/>
      <c r="H161" s="361"/>
      <c r="I161" s="361"/>
      <c r="J161" s="361"/>
      <c r="K161" s="546"/>
      <c r="L161" s="546"/>
      <c r="M161" s="546"/>
      <c r="N161" s="546">
        <v>3.6603999999999998E-2</v>
      </c>
      <c r="O161" s="361" t="s">
        <v>1265</v>
      </c>
      <c r="P161" s="546"/>
      <c r="Q161" s="546">
        <v>0.12945899999999999</v>
      </c>
      <c r="R161" s="361" t="s">
        <v>1266</v>
      </c>
      <c r="S161" s="361" t="s">
        <v>1270</v>
      </c>
      <c r="T161" s="361"/>
    </row>
    <row r="162" spans="1:21" ht="16.5">
      <c r="A162" s="1015"/>
      <c r="B162" s="1015"/>
      <c r="C162" s="4"/>
      <c r="D162" s="361" t="s">
        <v>1271</v>
      </c>
      <c r="E162" s="361" t="s">
        <v>1272</v>
      </c>
      <c r="F162" s="361" t="s">
        <v>1264</v>
      </c>
      <c r="G162" s="361"/>
      <c r="H162" s="361"/>
      <c r="I162" s="361"/>
      <c r="J162" s="361"/>
      <c r="K162" s="546">
        <v>0.05</v>
      </c>
      <c r="L162" s="546">
        <v>2E-3</v>
      </c>
      <c r="M162" s="546">
        <v>5.5</v>
      </c>
      <c r="N162" s="546">
        <v>5.7999999999999996E-3</v>
      </c>
      <c r="O162" s="361" t="s">
        <v>1265</v>
      </c>
      <c r="P162" s="546">
        <v>0.05</v>
      </c>
      <c r="Q162" s="546">
        <v>0.05</v>
      </c>
      <c r="R162" s="361" t="s">
        <v>1266</v>
      </c>
      <c r="S162" s="361" t="s">
        <v>1188</v>
      </c>
      <c r="T162" s="361"/>
    </row>
    <row r="163" spans="1:21" ht="16.5">
      <c r="A163" s="1015"/>
      <c r="B163" s="1015"/>
      <c r="C163" s="4"/>
      <c r="D163" s="842" t="s">
        <v>1760</v>
      </c>
      <c r="E163" s="361" t="s">
        <v>1273</v>
      </c>
      <c r="F163" s="361" t="s">
        <v>1264</v>
      </c>
      <c r="G163" s="361"/>
      <c r="H163" s="361"/>
      <c r="I163" s="361"/>
      <c r="J163" s="361"/>
      <c r="K163" s="546"/>
      <c r="L163" s="546"/>
      <c r="M163" s="546"/>
      <c r="N163" s="546">
        <v>3.0425000000000001E-2</v>
      </c>
      <c r="O163" s="361" t="s">
        <v>1265</v>
      </c>
      <c r="P163" s="546"/>
      <c r="Q163" s="546">
        <v>0.147485</v>
      </c>
      <c r="R163" s="361" t="s">
        <v>1266</v>
      </c>
      <c r="S163" s="361" t="s">
        <v>1274</v>
      </c>
      <c r="T163" s="361"/>
    </row>
    <row r="164" spans="1:21" ht="16.5">
      <c r="A164" s="1015"/>
      <c r="B164" s="1015"/>
      <c r="C164" s="4"/>
      <c r="D164" s="842" t="s">
        <v>1765</v>
      </c>
      <c r="E164" s="361" t="s">
        <v>1275</v>
      </c>
      <c r="F164" s="361" t="s">
        <v>1264</v>
      </c>
      <c r="G164" s="361"/>
      <c r="H164" s="361"/>
      <c r="I164" s="361"/>
      <c r="J164" s="361"/>
      <c r="K164" s="546">
        <v>0.26</v>
      </c>
      <c r="L164" s="546">
        <v>8.9999999999999993E-3</v>
      </c>
      <c r="M164" s="546">
        <v>84.7</v>
      </c>
      <c r="N164" s="546">
        <v>8.7999999999999995E-2</v>
      </c>
      <c r="O164" s="361" t="s">
        <v>1265</v>
      </c>
      <c r="P164" s="546">
        <v>0.27</v>
      </c>
      <c r="Q164" s="546">
        <v>0.34</v>
      </c>
      <c r="R164" s="361" t="s">
        <v>1266</v>
      </c>
      <c r="S164" s="361" t="s">
        <v>1188</v>
      </c>
      <c r="T164" s="361"/>
    </row>
    <row r="165" spans="1:21" ht="16.5">
      <c r="A165" s="1015"/>
      <c r="B165" s="1015"/>
      <c r="C165" s="4"/>
      <c r="D165" s="842" t="s">
        <v>1764</v>
      </c>
      <c r="E165" s="361" t="s">
        <v>1276</v>
      </c>
      <c r="F165" s="361" t="s">
        <v>1264</v>
      </c>
      <c r="G165" s="361"/>
      <c r="H165" s="361"/>
      <c r="I165" s="361"/>
      <c r="J165" s="361"/>
      <c r="K165" s="546">
        <v>3.01</v>
      </c>
      <c r="L165" s="546">
        <v>0.16800000000000001</v>
      </c>
      <c r="M165" s="546">
        <v>877.2</v>
      </c>
      <c r="N165" s="546">
        <v>0.9093</v>
      </c>
      <c r="O165" s="361" t="s">
        <v>1265</v>
      </c>
      <c r="P165" s="546">
        <v>2.57</v>
      </c>
      <c r="Q165" s="546">
        <v>3.51</v>
      </c>
      <c r="R165" s="361" t="s">
        <v>1266</v>
      </c>
      <c r="S165" s="361" t="s">
        <v>1188</v>
      </c>
      <c r="T165" s="361"/>
    </row>
    <row r="166" spans="1:21" ht="16.5">
      <c r="A166" s="1015"/>
      <c r="B166" s="1015"/>
      <c r="C166" s="4"/>
      <c r="D166" s="842" t="s">
        <v>1763</v>
      </c>
      <c r="E166" s="361" t="s">
        <v>1277</v>
      </c>
      <c r="F166" s="361" t="s">
        <v>1264</v>
      </c>
      <c r="G166" s="361"/>
      <c r="H166" s="361"/>
      <c r="I166" s="361"/>
      <c r="J166" s="361"/>
      <c r="K166" s="546">
        <v>1.72</v>
      </c>
      <c r="L166" s="546">
        <v>4.9000000000000002E-2</v>
      </c>
      <c r="M166" s="546">
        <v>355.7</v>
      </c>
      <c r="N166" s="546">
        <v>0.371</v>
      </c>
      <c r="O166" s="361" t="s">
        <v>1265</v>
      </c>
      <c r="P166" s="546">
        <v>1.17</v>
      </c>
      <c r="Q166" s="546">
        <v>1.42</v>
      </c>
      <c r="R166" s="361" t="s">
        <v>1266</v>
      </c>
      <c r="S166" s="361" t="s">
        <v>1188</v>
      </c>
      <c r="T166" s="361"/>
    </row>
    <row r="167" spans="1:21" ht="16.5">
      <c r="A167" s="1015"/>
      <c r="B167" s="1015"/>
      <c r="C167" s="4"/>
      <c r="D167" s="842" t="s">
        <v>1762</v>
      </c>
      <c r="E167" s="361" t="s">
        <v>1278</v>
      </c>
      <c r="F167" s="361" t="s">
        <v>1264</v>
      </c>
      <c r="G167" s="361"/>
      <c r="H167" s="361"/>
      <c r="I167" s="361"/>
      <c r="J167" s="361"/>
      <c r="K167" s="546">
        <v>0.65</v>
      </c>
      <c r="L167" s="546">
        <v>1.9E-2</v>
      </c>
      <c r="M167" s="546">
        <v>147.69999999999999</v>
      </c>
      <c r="N167" s="546">
        <v>0.15330000000000002</v>
      </c>
      <c r="O167" s="361" t="s">
        <v>1265</v>
      </c>
      <c r="P167" s="546">
        <v>0.48</v>
      </c>
      <c r="Q167" s="546">
        <v>0.59</v>
      </c>
      <c r="R167" s="361" t="s">
        <v>1266</v>
      </c>
      <c r="S167" s="361" t="s">
        <v>1188</v>
      </c>
      <c r="T167" s="361"/>
    </row>
    <row r="168" spans="1:21" ht="16.5">
      <c r="A168" s="1015"/>
      <c r="B168" s="1015"/>
      <c r="C168" s="4"/>
      <c r="D168" s="842" t="s">
        <v>1761</v>
      </c>
      <c r="E168" s="361" t="s">
        <v>1279</v>
      </c>
      <c r="F168" s="361" t="s">
        <v>1264</v>
      </c>
      <c r="G168" s="361"/>
      <c r="H168" s="361"/>
      <c r="I168" s="361"/>
      <c r="J168" s="361"/>
      <c r="K168" s="546">
        <v>0.13</v>
      </c>
      <c r="L168" s="546">
        <v>6.0000000000000001E-3</v>
      </c>
      <c r="M168" s="546">
        <v>63.7</v>
      </c>
      <c r="N168" s="546">
        <v>6.6099999999999992E-2</v>
      </c>
      <c r="O168" s="361" t="s">
        <v>1265</v>
      </c>
      <c r="P168" s="546">
        <v>0.2</v>
      </c>
      <c r="Q168" s="546">
        <v>0.26</v>
      </c>
      <c r="R168" s="361" t="s">
        <v>1266</v>
      </c>
      <c r="S168" s="361" t="s">
        <v>1188</v>
      </c>
      <c r="T168" s="361"/>
    </row>
    <row r="169" spans="1:21" ht="16.5">
      <c r="A169" s="1015"/>
      <c r="B169" s="1015"/>
      <c r="C169" s="4"/>
      <c r="D169" s="842" t="s">
        <v>1766</v>
      </c>
      <c r="E169" s="361" t="s">
        <v>1280</v>
      </c>
      <c r="F169" s="361" t="s">
        <v>1264</v>
      </c>
      <c r="G169" s="361"/>
      <c r="H169" s="361"/>
      <c r="I169" s="361"/>
      <c r="J169" s="361"/>
      <c r="K169" s="546"/>
      <c r="L169" s="546"/>
      <c r="M169" s="546"/>
      <c r="N169" s="546">
        <v>1.32</v>
      </c>
      <c r="O169" s="361" t="s">
        <v>1265</v>
      </c>
      <c r="P169" s="546"/>
      <c r="Q169" s="546"/>
      <c r="R169" s="361"/>
      <c r="S169" s="361" t="s">
        <v>1281</v>
      </c>
      <c r="T169" s="361"/>
    </row>
    <row r="170" spans="1:21" ht="16.5">
      <c r="A170" s="1015"/>
      <c r="B170" s="1015"/>
      <c r="C170" s="4"/>
      <c r="D170" s="842" t="s">
        <v>1767</v>
      </c>
      <c r="E170" s="361" t="s">
        <v>1282</v>
      </c>
      <c r="F170" s="361" t="s">
        <v>1264</v>
      </c>
      <c r="G170" s="361"/>
      <c r="H170" s="361"/>
      <c r="I170" s="361"/>
      <c r="J170" s="361"/>
      <c r="K170" s="546"/>
      <c r="L170" s="546"/>
      <c r="M170" s="546"/>
      <c r="N170" s="546">
        <v>0.82</v>
      </c>
      <c r="O170" s="361" t="s">
        <v>1265</v>
      </c>
      <c r="P170" s="546"/>
      <c r="Q170" s="546"/>
      <c r="R170" s="361"/>
      <c r="S170" s="361" t="s">
        <v>1281</v>
      </c>
      <c r="T170" s="361"/>
    </row>
    <row r="171" spans="1:21" ht="16.5">
      <c r="A171" s="1015"/>
      <c r="B171" s="1015"/>
      <c r="D171" s="842" t="s">
        <v>1768</v>
      </c>
      <c r="E171" s="361" t="s">
        <v>1283</v>
      </c>
      <c r="F171" s="361" t="s">
        <v>1264</v>
      </c>
      <c r="G171" s="361"/>
      <c r="H171" s="361"/>
      <c r="I171" s="361"/>
      <c r="J171" s="361"/>
      <c r="K171" s="546"/>
      <c r="L171" s="546"/>
      <c r="M171" s="546"/>
      <c r="N171" s="546">
        <v>0.65</v>
      </c>
      <c r="O171" s="361" t="s">
        <v>1265</v>
      </c>
      <c r="P171" s="546"/>
      <c r="Q171" s="546"/>
      <c r="R171" s="361"/>
      <c r="S171" s="361" t="s">
        <v>1281</v>
      </c>
      <c r="T171" s="361"/>
    </row>
    <row r="172" spans="1:21" ht="16.5">
      <c r="A172" s="1015"/>
      <c r="B172" s="1015"/>
      <c r="D172" s="361" t="s">
        <v>1284</v>
      </c>
      <c r="E172" s="361" t="s">
        <v>1285</v>
      </c>
      <c r="F172" s="361" t="s">
        <v>1264</v>
      </c>
      <c r="G172" s="361"/>
      <c r="H172" s="361"/>
      <c r="I172" s="361"/>
      <c r="J172" s="361"/>
      <c r="K172" s="361"/>
      <c r="L172" s="361"/>
      <c r="M172" s="361"/>
      <c r="N172" s="546">
        <v>1.21E-2</v>
      </c>
      <c r="O172" s="361" t="s">
        <v>1265</v>
      </c>
      <c r="P172" s="546"/>
      <c r="Q172" s="546">
        <v>4.4123999999999997E-2</v>
      </c>
      <c r="R172" s="361" t="s">
        <v>1266</v>
      </c>
      <c r="S172" s="361" t="s">
        <v>1286</v>
      </c>
      <c r="T172" s="361"/>
    </row>
    <row r="173" spans="1:21">
      <c r="A173" s="1015"/>
      <c r="B173" s="1015"/>
      <c r="D173" s="507"/>
      <c r="E173" s="507"/>
      <c r="F173" s="507"/>
      <c r="G173" s="549"/>
      <c r="H173" s="507"/>
      <c r="I173" s="549"/>
      <c r="J173" s="549"/>
      <c r="K173" s="549"/>
      <c r="L173" s="549"/>
      <c r="M173" s="549"/>
      <c r="N173" s="549"/>
      <c r="O173" s="507"/>
      <c r="P173" s="549"/>
      <c r="Q173" s="549"/>
      <c r="R173" s="507"/>
      <c r="S173" s="507"/>
    </row>
    <row r="174" spans="1:21">
      <c r="A174" s="1015"/>
      <c r="B174" s="1015"/>
      <c r="D174" s="547" t="s">
        <v>1066</v>
      </c>
      <c r="E174" s="550"/>
      <c r="F174" s="11"/>
      <c r="G174" s="11"/>
      <c r="H174" s="11"/>
      <c r="I174" s="11"/>
      <c r="J174" s="11"/>
      <c r="K174" s="11"/>
      <c r="L174" s="11"/>
      <c r="M174" s="11"/>
      <c r="N174" s="12"/>
      <c r="O174" s="11"/>
      <c r="P174" s="108"/>
      <c r="Q174" s="108"/>
      <c r="R174" s="11"/>
      <c r="S174" s="11"/>
      <c r="T174" s="11"/>
      <c r="U174" s="102" t="s">
        <v>1163</v>
      </c>
    </row>
    <row r="175" spans="1:21">
      <c r="A175" s="1015"/>
      <c r="B175" s="1015"/>
      <c r="D175" s="547" t="s">
        <v>1066</v>
      </c>
      <c r="E175" s="550"/>
      <c r="F175" s="11"/>
      <c r="G175" s="11"/>
      <c r="H175" s="11"/>
      <c r="I175" s="11"/>
      <c r="J175" s="11"/>
      <c r="K175" s="11"/>
      <c r="L175" s="11"/>
      <c r="M175" s="11"/>
      <c r="N175" s="12"/>
      <c r="O175" s="11"/>
      <c r="P175" s="108"/>
      <c r="Q175" s="108"/>
      <c r="R175" s="11"/>
      <c r="S175" s="11"/>
      <c r="T175" s="11"/>
      <c r="U175" s="102" t="s">
        <v>1287</v>
      </c>
    </row>
    <row r="176" spans="1:21">
      <c r="A176" s="1015"/>
      <c r="B176" s="1015"/>
      <c r="D176" s="547" t="s">
        <v>1066</v>
      </c>
      <c r="E176" s="550"/>
      <c r="F176" s="11"/>
      <c r="G176" s="11"/>
      <c r="H176" s="11"/>
      <c r="I176" s="11"/>
      <c r="J176" s="11"/>
      <c r="K176" s="11"/>
      <c r="L176" s="11"/>
      <c r="M176" s="11"/>
      <c r="N176" s="12"/>
      <c r="O176" s="11"/>
      <c r="P176" s="108"/>
      <c r="Q176" s="108"/>
      <c r="R176" s="11"/>
      <c r="S176" s="11"/>
      <c r="T176" s="11"/>
      <c r="U176" s="102" t="s">
        <v>1854</v>
      </c>
    </row>
    <row r="177" spans="1:21">
      <c r="A177" s="1015"/>
      <c r="B177" s="1015"/>
      <c r="D177" s="547" t="s">
        <v>1066</v>
      </c>
      <c r="E177" s="550"/>
      <c r="F177" s="11"/>
      <c r="G177" s="11"/>
      <c r="H177" s="11"/>
      <c r="I177" s="11"/>
      <c r="J177" s="11"/>
      <c r="K177" s="11"/>
      <c r="L177" s="11"/>
      <c r="M177" s="11"/>
      <c r="N177" s="12"/>
      <c r="O177" s="11"/>
      <c r="P177" s="108"/>
      <c r="Q177" s="108"/>
      <c r="R177" s="11"/>
      <c r="S177" s="11"/>
      <c r="T177" s="11"/>
      <c r="U177" s="102" t="s">
        <v>1853</v>
      </c>
    </row>
    <row r="178" spans="1:21">
      <c r="A178" s="1015"/>
      <c r="B178" s="1015"/>
      <c r="D178" s="547" t="s">
        <v>1066</v>
      </c>
      <c r="E178" s="550"/>
      <c r="F178" s="11"/>
      <c r="G178" s="11"/>
      <c r="H178" s="11"/>
      <c r="I178" s="11"/>
      <c r="J178" s="11"/>
      <c r="K178" s="11"/>
      <c r="L178" s="11"/>
      <c r="M178" s="11"/>
      <c r="N178" s="12"/>
      <c r="O178" s="11"/>
      <c r="P178" s="108"/>
      <c r="Q178" s="108"/>
      <c r="R178" s="11"/>
      <c r="S178" s="11"/>
      <c r="T178" s="11"/>
    </row>
    <row r="179" spans="1:21">
      <c r="A179" s="1015"/>
      <c r="B179" s="1015"/>
      <c r="D179" s="547" t="s">
        <v>1066</v>
      </c>
      <c r="E179" s="550"/>
      <c r="F179" s="11"/>
      <c r="G179" s="11"/>
      <c r="H179" s="11"/>
      <c r="I179" s="11"/>
      <c r="J179" s="11"/>
      <c r="K179" s="11"/>
      <c r="L179" s="11"/>
      <c r="M179" s="11"/>
      <c r="N179" s="12"/>
      <c r="O179" s="11"/>
      <c r="P179" s="108"/>
      <c r="Q179" s="108"/>
      <c r="R179" s="11"/>
      <c r="S179" s="11"/>
      <c r="T179" s="11"/>
    </row>
    <row r="180" spans="1:21">
      <c r="A180" s="1015"/>
      <c r="B180" s="1015"/>
      <c r="D180" s="547" t="s">
        <v>1066</v>
      </c>
      <c r="E180" s="550"/>
      <c r="F180" s="11"/>
      <c r="G180" s="11"/>
      <c r="H180" s="11"/>
      <c r="I180" s="11"/>
      <c r="J180" s="11"/>
      <c r="K180" s="11"/>
      <c r="L180" s="11"/>
      <c r="M180" s="11"/>
      <c r="N180" s="12"/>
      <c r="O180" s="11"/>
      <c r="P180" s="108"/>
      <c r="Q180" s="108"/>
      <c r="R180" s="11"/>
      <c r="S180" s="11"/>
      <c r="T180" s="11"/>
    </row>
    <row r="181" spans="1:21">
      <c r="A181" s="1015"/>
      <c r="B181" s="1015"/>
      <c r="D181" s="547" t="s">
        <v>1066</v>
      </c>
      <c r="E181" s="550"/>
      <c r="F181" s="11"/>
      <c r="G181" s="11"/>
      <c r="H181" s="11"/>
      <c r="I181" s="11"/>
      <c r="J181" s="11"/>
      <c r="K181" s="11"/>
      <c r="L181" s="11"/>
      <c r="M181" s="11"/>
      <c r="N181" s="12"/>
      <c r="O181" s="11"/>
      <c r="P181" s="108"/>
      <c r="Q181" s="108"/>
      <c r="R181" s="11"/>
      <c r="S181" s="11"/>
      <c r="T181" s="11"/>
    </row>
    <row r="182" spans="1:21">
      <c r="A182" s="1015"/>
      <c r="B182" s="1015"/>
      <c r="D182" s="547" t="s">
        <v>1066</v>
      </c>
      <c r="E182" s="550"/>
      <c r="F182" s="11"/>
      <c r="G182" s="11"/>
      <c r="H182" s="11"/>
      <c r="I182" s="11"/>
      <c r="J182" s="11"/>
      <c r="K182" s="11"/>
      <c r="L182" s="11"/>
      <c r="M182" s="11"/>
      <c r="N182" s="12"/>
      <c r="O182" s="11"/>
      <c r="P182" s="108"/>
      <c r="Q182" s="108"/>
      <c r="R182" s="11"/>
      <c r="S182" s="11"/>
      <c r="T182" s="11"/>
    </row>
    <row r="183" spans="1:21">
      <c r="A183" s="1015"/>
      <c r="B183" s="1015"/>
      <c r="D183" s="547" t="s">
        <v>1066</v>
      </c>
      <c r="E183" s="550"/>
      <c r="F183" s="11"/>
      <c r="G183" s="11"/>
      <c r="H183" s="11"/>
      <c r="I183" s="11"/>
      <c r="J183" s="11"/>
      <c r="K183" s="11"/>
      <c r="L183" s="11"/>
      <c r="M183" s="11"/>
      <c r="N183" s="12"/>
      <c r="O183" s="11"/>
      <c r="P183" s="108"/>
      <c r="Q183" s="108"/>
      <c r="R183" s="11"/>
      <c r="S183" s="11"/>
      <c r="T183" s="11"/>
    </row>
    <row r="184" spans="1:21">
      <c r="A184" s="215"/>
    </row>
    <row r="185" spans="1:21">
      <c r="A185" s="215"/>
    </row>
    <row r="186" spans="1:21">
      <c r="A186" s="215"/>
    </row>
    <row r="187" spans="1:21">
      <c r="A187" s="215"/>
    </row>
    <row r="188" spans="1:21">
      <c r="A188" s="215"/>
    </row>
    <row r="189" spans="1:21">
      <c r="A189" s="215"/>
    </row>
    <row r="190" spans="1:21">
      <c r="A190" s="215"/>
    </row>
    <row r="191" spans="1:21">
      <c r="A191" s="215"/>
    </row>
    <row r="192" spans="1:21">
      <c r="A192" s="215"/>
    </row>
    <row r="193" spans="1:1">
      <c r="A193" s="215"/>
    </row>
    <row r="194" spans="1:1">
      <c r="A194" s="215"/>
    </row>
    <row r="195" spans="1:1">
      <c r="A195" s="215"/>
    </row>
    <row r="196" spans="1:1">
      <c r="A196" s="215"/>
    </row>
    <row r="197" spans="1:1">
      <c r="A197" s="215"/>
    </row>
    <row r="198" spans="1:1">
      <c r="A198" s="215"/>
    </row>
    <row r="199" spans="1:1">
      <c r="A199" s="215"/>
    </row>
    <row r="200" spans="1:1">
      <c r="A200" s="215"/>
    </row>
    <row r="201" spans="1:1">
      <c r="A201" s="215"/>
    </row>
    <row r="202" spans="1:1">
      <c r="A202" s="215"/>
    </row>
    <row r="203" spans="1:1">
      <c r="A203" s="215"/>
    </row>
  </sheetData>
  <sortState xmlns:xlrd2="http://schemas.microsoft.com/office/spreadsheetml/2017/richdata2" ref="D152:S157">
    <sortCondition ref="D152:D157"/>
  </sortState>
  <mergeCells count="8">
    <mergeCell ref="A105:B156"/>
    <mergeCell ref="A158:B183"/>
    <mergeCell ref="A3:A33"/>
    <mergeCell ref="A35:A78"/>
    <mergeCell ref="A80:A103"/>
    <mergeCell ref="B3:B33"/>
    <mergeCell ref="B35:B78"/>
    <mergeCell ref="B80:B103"/>
  </mergeCells>
  <phoneticPr fontId="34" type="noConversion"/>
  <hyperlinks>
    <hyperlink ref="S148" r:id="rId1" xr:uid="{00000000-0004-0000-0F00-000000000000}"/>
    <hyperlink ref="S149" r:id="rId2" xr:uid="{00000000-0004-0000-0F00-000001000000}"/>
    <hyperlink ref="S146" r:id="rId3" xr:uid="{00000000-0004-0000-0F00-000002000000}"/>
    <hyperlink ref="V5" location="'Aufbau LCC-CO2-Tool'!A1" display="zurück zur Übersicht" xr:uid="{0BABE624-5562-4DE9-9FD1-24CE77CB5EFF}"/>
    <hyperlink ref="V6" location="'Anleitung für Beschaffende'!A20" display="zurück zur Anleitung für Beschaffende " xr:uid="{DDC07591-1D0A-4973-90A3-A6521CB343E8}"/>
    <hyperlink ref="V7" location="'Anleitung für Bietende'!A18" display="zurück zur Anleitung für Bietende" xr:uid="{A604EE7C-CA5B-4FBE-A72A-4C605AEBFE97}"/>
  </hyperlinks>
  <pageMargins left="0.70866141732283472" right="0.70866141732283472" top="0.74803149606299213" bottom="0.74803149606299213" header="0.31496062992125984" footer="0.31496062992125984"/>
  <pageSetup paperSize="9" orientation="portrait" horizontalDpi="1200" verticalDpi="1200" r:id="rId4"/>
  <headerFooter>
    <oddHeader>&amp;C&amp;14&amp;KFF0000TESTVERSION!</oddHeader>
    <oddFooter>&amp;L&amp;8LCC-CO2-Tool - Arbeitshilfe des Umweltbundesamtes&amp;C&amp;8Emissionsfaktoren Prozesse&amp;R&amp;8&amp;P</oddFooter>
  </headerFooter>
  <drawing r:id="rId5"/>
  <legacyDrawing r:id="rId6"/>
  <tableParts count="5">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tabColor theme="0" tint="-4.9989318521683403E-2"/>
    <pageSetUpPr fitToPage="1"/>
  </sheetPr>
  <dimension ref="A1:D55"/>
  <sheetViews>
    <sheetView showGridLines="0" topLeftCell="A27" zoomScaleNormal="100" workbookViewId="0">
      <selection activeCell="A31" sqref="A31"/>
    </sheetView>
  </sheetViews>
  <sheetFormatPr baseColWidth="10" defaultColWidth="11.08203125" defaultRowHeight="14.5"/>
  <cols>
    <col min="1" max="1" width="83.4140625" style="933" customWidth="1"/>
    <col min="2" max="2" width="19.6640625" style="998" customWidth="1"/>
    <col min="3" max="4" width="19.33203125" style="998" customWidth="1"/>
    <col min="5" max="16" width="19.33203125" style="253" customWidth="1"/>
    <col min="17" max="16384" width="11.08203125" style="253"/>
  </cols>
  <sheetData>
    <row r="1" spans="1:3" ht="38.5">
      <c r="A1" s="254" t="s">
        <v>1818</v>
      </c>
    </row>
    <row r="2" spans="1:3" ht="55.5" customHeight="1">
      <c r="A2" s="914" t="s">
        <v>1827</v>
      </c>
    </row>
    <row r="3" spans="1:3" ht="18.5">
      <c r="A3" s="914"/>
    </row>
    <row r="4" spans="1:3" ht="24" thickBot="1">
      <c r="A4" s="915" t="s">
        <v>24</v>
      </c>
    </row>
    <row r="5" spans="1:3" ht="74" customHeight="1">
      <c r="A5" s="957" t="s">
        <v>1819</v>
      </c>
    </row>
    <row r="6" spans="1:3">
      <c r="A6" s="312"/>
    </row>
    <row r="7" spans="1:3" ht="24" thickBot="1">
      <c r="A7" s="915" t="s">
        <v>25</v>
      </c>
    </row>
    <row r="8" spans="1:3" ht="29">
      <c r="A8" s="366" t="s">
        <v>26</v>
      </c>
    </row>
    <row r="9" spans="1:3">
      <c r="A9" s="367" t="s">
        <v>27</v>
      </c>
    </row>
    <row r="10" spans="1:3" ht="43.5">
      <c r="A10" s="935" t="s">
        <v>1830</v>
      </c>
    </row>
    <row r="11" spans="1:3">
      <c r="A11" s="312"/>
    </row>
    <row r="12" spans="1:3" ht="47.5" thickBot="1">
      <c r="A12" s="917" t="s">
        <v>1828</v>
      </c>
    </row>
    <row r="13" spans="1:3" ht="246.5">
      <c r="A13" s="349" t="s">
        <v>1885</v>
      </c>
      <c r="B13" s="999" t="s">
        <v>1889</v>
      </c>
      <c r="C13" s="999" t="s">
        <v>1890</v>
      </c>
    </row>
    <row r="14" spans="1:3" ht="29">
      <c r="A14" s="346" t="s">
        <v>28</v>
      </c>
      <c r="B14" s="1000" t="s">
        <v>1891</v>
      </c>
    </row>
    <row r="15" spans="1:3" ht="29">
      <c r="A15" s="346" t="s">
        <v>1867</v>
      </c>
      <c r="B15" s="1000" t="s">
        <v>1896</v>
      </c>
    </row>
    <row r="16" spans="1:3" ht="43.5">
      <c r="A16" s="346" t="s">
        <v>29</v>
      </c>
      <c r="B16" s="1000" t="s">
        <v>1892</v>
      </c>
    </row>
    <row r="17" spans="1:4" ht="67" customHeight="1">
      <c r="A17" s="347" t="s">
        <v>1826</v>
      </c>
      <c r="B17" s="1000" t="s">
        <v>1893</v>
      </c>
    </row>
    <row r="18" spans="1:4" ht="94" customHeight="1">
      <c r="A18" s="348" t="s">
        <v>1820</v>
      </c>
      <c r="B18" s="999" t="s">
        <v>1897</v>
      </c>
      <c r="C18" s="999" t="s">
        <v>1898</v>
      </c>
    </row>
    <row r="19" spans="1:4" ht="409.5" customHeight="1">
      <c r="A19" s="936" t="s">
        <v>1884</v>
      </c>
      <c r="B19" s="999" t="s">
        <v>1899</v>
      </c>
      <c r="C19" s="999" t="s">
        <v>1900</v>
      </c>
    </row>
    <row r="20" spans="1:4" ht="93.5" customHeight="1">
      <c r="A20" s="937" t="s">
        <v>1838</v>
      </c>
      <c r="B20" s="999" t="s">
        <v>1901</v>
      </c>
      <c r="C20" s="999" t="s">
        <v>1894</v>
      </c>
      <c r="D20" s="999" t="s">
        <v>1895</v>
      </c>
    </row>
    <row r="21" spans="1:4" ht="87">
      <c r="A21" s="955" t="s">
        <v>1829</v>
      </c>
      <c r="B21" s="997"/>
    </row>
    <row r="22" spans="1:4">
      <c r="A22" s="312"/>
    </row>
    <row r="23" spans="1:4" ht="23.5">
      <c r="A23" s="917" t="s">
        <v>1821</v>
      </c>
    </row>
    <row r="24" spans="1:4" ht="14.5" customHeight="1">
      <c r="A24" s="918" t="s">
        <v>30</v>
      </c>
    </row>
    <row r="25" spans="1:4">
      <c r="A25" s="919" t="s">
        <v>31</v>
      </c>
    </row>
    <row r="26" spans="1:4">
      <c r="A26" s="920"/>
    </row>
    <row r="27" spans="1:4" ht="145.5" thickBot="1">
      <c r="A27" s="958" t="s">
        <v>1822</v>
      </c>
      <c r="B27" s="999" t="s">
        <v>1889</v>
      </c>
      <c r="C27" s="999" t="s">
        <v>1890</v>
      </c>
    </row>
    <row r="28" spans="1:4" ht="15.5" thickTop="1" thickBot="1">
      <c r="A28" s="916"/>
    </row>
    <row r="29" spans="1:4" ht="15" thickTop="1">
      <c r="A29" s="934" t="s">
        <v>1823</v>
      </c>
      <c r="B29" s="1000" t="s">
        <v>1891</v>
      </c>
    </row>
    <row r="30" spans="1:4">
      <c r="A30" s="921"/>
      <c r="B30" s="1000" t="s">
        <v>1896</v>
      </c>
    </row>
    <row r="31" spans="1:4" ht="218" thickBot="1">
      <c r="A31" s="1007" t="s">
        <v>1910</v>
      </c>
      <c r="B31" s="1000" t="s">
        <v>1892</v>
      </c>
    </row>
    <row r="32" spans="1:4" ht="15.5" thickTop="1" thickBot="1">
      <c r="A32" s="916"/>
    </row>
    <row r="33" spans="1:3" ht="15" thickTop="1">
      <c r="A33" s="934" t="s">
        <v>1314</v>
      </c>
      <c r="B33" s="1000" t="s">
        <v>1893</v>
      </c>
    </row>
    <row r="34" spans="1:3">
      <c r="A34" s="921"/>
    </row>
    <row r="35" spans="1:3" ht="151" customHeight="1" thickBot="1">
      <c r="A35" s="1007" t="s">
        <v>1839</v>
      </c>
    </row>
    <row r="36" spans="1:3" ht="15.5" thickTop="1" thickBot="1">
      <c r="A36" s="916"/>
    </row>
    <row r="37" spans="1:3" ht="15" thickTop="1">
      <c r="A37" s="922" t="s">
        <v>1825</v>
      </c>
    </row>
    <row r="38" spans="1:3" ht="246.5">
      <c r="A38" s="965" t="s">
        <v>1846</v>
      </c>
      <c r="B38" s="999" t="s">
        <v>1897</v>
      </c>
      <c r="C38" s="999" t="s">
        <v>1898</v>
      </c>
    </row>
    <row r="39" spans="1:3" ht="188.5">
      <c r="A39" s="923" t="s">
        <v>1837</v>
      </c>
    </row>
    <row r="40" spans="1:3" ht="174">
      <c r="A40" s="965" t="s">
        <v>1847</v>
      </c>
    </row>
    <row r="41" spans="1:3" ht="160.5" customHeight="1" thickBot="1">
      <c r="A41" s="964" t="s">
        <v>1840</v>
      </c>
    </row>
    <row r="42" spans="1:3" ht="15.5" thickTop="1" thickBot="1">
      <c r="A42" s="916"/>
    </row>
    <row r="43" spans="1:3" ht="15" thickTop="1">
      <c r="A43" s="924" t="s">
        <v>1824</v>
      </c>
    </row>
    <row r="44" spans="1:3">
      <c r="A44" s="925"/>
    </row>
    <row r="45" spans="1:3" ht="174.5" thickBot="1">
      <c r="A45" s="926" t="s">
        <v>1844</v>
      </c>
      <c r="B45" s="999" t="s">
        <v>1899</v>
      </c>
      <c r="C45" s="999" t="s">
        <v>1900</v>
      </c>
    </row>
    <row r="46" spans="1:3" ht="15.5" thickTop="1" thickBot="1">
      <c r="A46" s="916"/>
    </row>
    <row r="47" spans="1:3" ht="15" thickTop="1">
      <c r="A47" s="927" t="s">
        <v>1841</v>
      </c>
    </row>
    <row r="48" spans="1:3">
      <c r="A48" s="928"/>
    </row>
    <row r="49" spans="1:4" ht="89.5" thickBot="1">
      <c r="A49" s="929" t="s">
        <v>1842</v>
      </c>
      <c r="B49" s="999" t="s">
        <v>1902</v>
      </c>
      <c r="C49" s="999" t="s">
        <v>1903</v>
      </c>
      <c r="D49" s="999" t="s">
        <v>1904</v>
      </c>
    </row>
    <row r="50" spans="1:4" ht="15.5" thickTop="1" thickBot="1">
      <c r="A50" s="916"/>
    </row>
    <row r="51" spans="1:4" ht="15.5" thickTop="1" thickBot="1">
      <c r="A51" s="930" t="s">
        <v>37</v>
      </c>
    </row>
    <row r="52" spans="1:4" ht="15" thickTop="1">
      <c r="A52" s="931"/>
    </row>
    <row r="53" spans="1:4" ht="101.5">
      <c r="A53" s="931" t="s">
        <v>1843</v>
      </c>
      <c r="B53" s="999" t="s">
        <v>1901</v>
      </c>
      <c r="C53" s="999" t="s">
        <v>1894</v>
      </c>
      <c r="D53" s="999" t="s">
        <v>1895</v>
      </c>
    </row>
    <row r="54" spans="1:4" ht="15" thickBot="1">
      <c r="A54" s="932"/>
    </row>
    <row r="55" spans="1:4" ht="15" thickTop="1">
      <c r="A55" s="916"/>
    </row>
  </sheetData>
  <hyperlinks>
    <hyperlink ref="B13" location="'Punktevergabe Übersicht'!A1" display="zum Tabellenblatt Punktevergabe Übersicht" xr:uid="{E73427C6-8017-4BBA-BC8B-F7FC11A5D48A}"/>
    <hyperlink ref="C13" location="'Punktevergabe Details'!A1" display="zum Tabellenblatt Punktevergabe Details" xr:uid="{18013A17-1721-49CD-BBF0-DF263C81AE56}"/>
    <hyperlink ref="B14" location="Einmalkosten!A1" display="Zum Tabellenblatt Einmalkosten" xr:uid="{40E7717F-4F48-433C-830A-982186B1B0A2}"/>
    <hyperlink ref="B15" location="'Transport+Installationskosten'!A1" display="Zum Tabellenblatt Transport + Installationskosten" xr:uid="{421BC5C2-2397-443A-87A1-8B46E2C19C25}"/>
    <hyperlink ref="B16" location="'Laufende Kosten'!A1" display="Zum Tabellenblatt Laufende Kosten" xr:uid="{49A9A3B2-47F9-454F-A9F5-8337A38DB323}"/>
    <hyperlink ref="B17" location="Investitionsrechnung!A1" display="Zum Tabellenblatt Investitionsrechnung" xr:uid="{666F8527-1841-44D9-A477-D0E2613AB841}"/>
    <hyperlink ref="B18" location="'THG-Emissionen mit Zertifikat'!A1" display="'THG-Emissionen mit Zertifikat'!A1" xr:uid="{3E2F9A03-DA66-4187-8543-B7734CC8D291}"/>
    <hyperlink ref="C18" location="'THG-Emissionen ohne Zertifikat'!A1" display="'THG-Emissionen ohne Zertifikat'!A1" xr:uid="{EB33148A-AF51-4D9F-8590-9E63347345BE}"/>
    <hyperlink ref="B19" location="'Ergebnis LCC inkl. CO2-Kosten'!A1" display="'Ergebnis LCC inkl. CO2-Kosten'!A1" xr:uid="{E0E6C339-911B-46FC-99DB-62DB8B1CAD77}"/>
    <hyperlink ref="C19" location="'Ergebnis LCC ohne CO2-Kosten'!A1" display="'Ergebnis LCC ohne CO2-Kosten'!A1" xr:uid="{E07D2750-A38D-4BC6-A318-565B10B691FC}"/>
    <hyperlink ref="B20" location="Emissionsfaktoren_Stoffe!A1" display="Emissionsfaktoren_Stoffe!A1" xr:uid="{90E80E3D-FFE1-4645-AF88-0485E35A058E}"/>
    <hyperlink ref="C20" location="Emissionsfaktoren_Prozesse!A1" display="Zum Tabellenblatt Emissionsfaktoren Prozesse" xr:uid="{892F7501-8EF3-464A-AFEC-054C7ACDCC8B}"/>
    <hyperlink ref="D20" location="Emissionsfaktoren_Lebenszyklus!A1" display="Zum Tabellenblatt Emissionsfaktoren Lebenszyklus" xr:uid="{50E7FCEB-FCC5-44B3-8BF8-3905AC7DBF64}"/>
    <hyperlink ref="B27" location="'Punktevergabe Übersicht'!A1" display="zum Tabellenblatt Punktevergabe Übersicht" xr:uid="{09B11FD2-FF2E-4309-AF07-85C79B6D699D}"/>
    <hyperlink ref="C27" location="'Punktevergabe Details'!A1" display="zum Tabellenblatt Punktevergabe Details" xr:uid="{6FB4B977-A4B4-4311-A910-D5654C1FDE29}"/>
    <hyperlink ref="B29" location="Einmalkosten!A1" display="Zum Tabellenblatt Einmalkosten" xr:uid="{1A3E76EC-F7AF-4C91-9FF8-B676199014C6}"/>
    <hyperlink ref="B30" location="'Transport+Installationskosten'!A1" display="Zum Tabellenblatt Transport + Installationskosten" xr:uid="{7823F151-0629-488A-989C-2067378EED7B}"/>
    <hyperlink ref="B31" location="'Laufende Kosten'!A1" display="Zum Tabellenblatt Laufende Kosten" xr:uid="{BB57DAA4-B432-4174-B2B1-68B86419C7DE}"/>
    <hyperlink ref="B33" location="Investitionsrechnung!A1" display="Zum Tabellenblatt Investitionsrechnung" xr:uid="{114BC1EC-2017-437B-AFB2-CF3F1CA4BBB9}"/>
    <hyperlink ref="B38" location="'THG-Emissionen mit Zertifikat'!A1" display="'THG-Emissionen mit Zertifikat'!A1" xr:uid="{AFCFFFD3-25F6-4446-97F6-0795849EFE00}"/>
    <hyperlink ref="C38" location="'THG-Emissionen ohne Zertifikat'!A1" display="'THG-Emissionen ohne Zertifikat'!A1" xr:uid="{6C2D6E67-94D1-4AD2-ABB1-DB811632AFF8}"/>
    <hyperlink ref="B45" location="'Ergebnis LCC inkl. CO2-Kosten'!A1" display="'Ergebnis LCC inkl. CO2-Kosten'!A1" xr:uid="{90EA483A-1D9A-4A01-AFB5-867A287EFD1A}"/>
    <hyperlink ref="C45" location="'Ergebnis LCC ohne CO2-Kosten'!A1" display="'Ergebnis LCC ohne CO2-Kosten'!A1" xr:uid="{6DA3640E-978F-4056-8BA8-4599128E3A23}"/>
    <hyperlink ref="C49" location="'Transport + Installation'!A1" display="Zum Tabellenblatt Transport+Installation" xr:uid="{069C89B7-ECE9-4673-B07C-AE20A5BBF98E}"/>
    <hyperlink ref="D49" location="Nutzung!A1" display="Zum Tabellenblatt Nutzung" xr:uid="{AC26A336-1294-4829-A371-D61304844BD5}"/>
    <hyperlink ref="B53" location="Emissionsfaktoren_Stoffe!A1" display="Emissionsfaktoren_Stoffe!A1" xr:uid="{E31F1DF1-BC0F-4102-92C0-C488176341FA}"/>
    <hyperlink ref="C53" location="Emissionsfaktoren_Prozesse!A1" display="Zum Tabellenblatt Emissionsfaktoren Prozesse" xr:uid="{00147927-72A2-4148-AC29-FE4B509E4824}"/>
    <hyperlink ref="D53" location="Emissionsfaktoren_Lebenszyklus!A1" display="Zum Tabellenblatt Emissionsfaktoren Lebenszyklus" xr:uid="{7CF6912F-F7F0-49A7-9BE0-C977E14AC8C7}"/>
    <hyperlink ref="B49" location="Produktion!A1" display="Produktion!A1" xr:uid="{6CBE9E38-30F8-4798-A62A-3EAC25D81BA3}"/>
  </hyperlinks>
  <pageMargins left="0.70866141732283472" right="0.70866141732283472" top="0.78740157480314965" bottom="0.78740157480314965" header="0.31496062992125984" footer="0.31496062992125984"/>
  <pageSetup paperSize="9" scale="98" fitToHeight="0" orientation="portrait" r:id="rId1"/>
  <headerFooter>
    <oddHeader>&amp;C&amp;14&amp;KFF0000TESTVERSION!</oddHeader>
    <oddFooter>&amp;L&amp;8LCC-CO2-Tool - Arbeitshilfe des Umweltbundesamtes&amp;C&amp;8Anleitung für Beschaffende&amp;R&amp;8&amp;P</oddFooter>
  </headerFooter>
  <rowBreaks count="2" manualBreakCount="2">
    <brk id="21" max="16383" man="1"/>
    <brk id="35"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theme="0"/>
  </sheetPr>
  <dimension ref="B1:K26"/>
  <sheetViews>
    <sheetView showGridLines="0" zoomScaleNormal="100" workbookViewId="0">
      <pane ySplit="2" topLeftCell="A5" activePane="bottomLeft" state="frozen"/>
      <selection pane="bottomLeft" activeCell="C1" sqref="C1"/>
    </sheetView>
  </sheetViews>
  <sheetFormatPr baseColWidth="10" defaultColWidth="8" defaultRowHeight="14.5"/>
  <cols>
    <col min="1" max="1" width="2.08203125" style="2" customWidth="1"/>
    <col min="2" max="2" width="18.5" style="2" customWidth="1"/>
    <col min="3" max="3" width="38.5" style="2" customWidth="1"/>
    <col min="4" max="4" width="29.25" style="2" customWidth="1"/>
    <col min="5" max="7" width="11.08203125" style="2" customWidth="1"/>
    <col min="8" max="8" width="13.5" style="2" customWidth="1"/>
    <col min="9" max="9" width="11.08203125" style="2" customWidth="1"/>
    <col min="10" max="10" width="36.5" style="2" customWidth="1"/>
    <col min="11" max="11" width="32.75" style="2" customWidth="1"/>
    <col min="12" max="16384" width="8" style="2"/>
  </cols>
  <sheetData>
    <row r="1" spans="2:11" ht="67.150000000000006" customHeight="1">
      <c r="B1" s="95" t="s">
        <v>1288</v>
      </c>
    </row>
    <row r="2" spans="2:11" ht="15.5">
      <c r="B2" s="70" t="s">
        <v>1289</v>
      </c>
      <c r="C2" s="70" t="s">
        <v>156</v>
      </c>
      <c r="D2" s="70" t="s">
        <v>251</v>
      </c>
      <c r="E2" s="70" t="s">
        <v>1071</v>
      </c>
      <c r="F2" s="70" t="s">
        <v>1072</v>
      </c>
      <c r="G2" s="70" t="s">
        <v>411</v>
      </c>
      <c r="H2" s="70" t="s">
        <v>1290</v>
      </c>
      <c r="I2" s="70" t="s">
        <v>228</v>
      </c>
      <c r="J2" s="70" t="s">
        <v>1291</v>
      </c>
      <c r="K2" s="70" t="s">
        <v>229</v>
      </c>
    </row>
    <row r="3" spans="2:11" hidden="1">
      <c r="B3" s="557"/>
      <c r="C3" s="558" t="s">
        <v>128</v>
      </c>
      <c r="D3" s="558" t="s">
        <v>128</v>
      </c>
      <c r="E3" s="557"/>
      <c r="F3" s="558"/>
      <c r="G3" s="557"/>
      <c r="H3" s="558"/>
      <c r="I3" s="558"/>
      <c r="J3" s="558"/>
      <c r="K3" s="558"/>
    </row>
    <row r="4" spans="2:11" hidden="1">
      <c r="B4" s="557"/>
      <c r="C4" s="973" t="s">
        <v>1876</v>
      </c>
      <c r="D4" s="973" t="s">
        <v>1876</v>
      </c>
      <c r="E4" s="557"/>
      <c r="F4" s="558"/>
      <c r="G4" s="557"/>
      <c r="H4" s="558"/>
      <c r="I4" s="558"/>
      <c r="J4" s="558"/>
      <c r="K4" s="558"/>
    </row>
    <row r="5" spans="2:11">
      <c r="B5" s="219" t="s">
        <v>1292</v>
      </c>
      <c r="C5" s="1011" t="s">
        <v>1293</v>
      </c>
      <c r="D5" s="560" t="s">
        <v>1294</v>
      </c>
      <c r="E5" s="559"/>
      <c r="F5" s="560"/>
      <c r="G5" s="559"/>
      <c r="H5" s="560">
        <v>6162.3</v>
      </c>
      <c r="I5" s="560" t="s">
        <v>420</v>
      </c>
      <c r="J5" s="560" t="s">
        <v>1295</v>
      </c>
      <c r="K5" s="560" t="s">
        <v>1296</v>
      </c>
    </row>
    <row r="6" spans="2:11">
      <c r="B6" s="227" t="s">
        <v>1292</v>
      </c>
      <c r="C6" s="561" t="s">
        <v>1297</v>
      </c>
      <c r="D6" s="562" t="s">
        <v>1298</v>
      </c>
      <c r="E6" s="561"/>
      <c r="F6" s="562"/>
      <c r="G6" s="561"/>
      <c r="H6" s="562">
        <v>3942</v>
      </c>
      <c r="I6" s="562" t="s">
        <v>420</v>
      </c>
      <c r="J6" s="562" t="s">
        <v>1295</v>
      </c>
      <c r="K6" s="562" t="s">
        <v>1296</v>
      </c>
    </row>
    <row r="7" spans="2:11">
      <c r="B7" s="226" t="s">
        <v>1292</v>
      </c>
      <c r="C7" s="559" t="s">
        <v>1299</v>
      </c>
      <c r="D7" s="560" t="s">
        <v>1300</v>
      </c>
      <c r="E7" s="559"/>
      <c r="F7" s="560"/>
      <c r="G7" s="559"/>
      <c r="H7" s="560">
        <v>25000.2</v>
      </c>
      <c r="I7" s="560" t="s">
        <v>420</v>
      </c>
      <c r="J7" s="560" t="s">
        <v>1295</v>
      </c>
      <c r="K7" s="560" t="s">
        <v>1296</v>
      </c>
    </row>
    <row r="8" spans="2:11">
      <c r="B8" s="228" t="s">
        <v>1292</v>
      </c>
      <c r="C8" s="227" t="s">
        <v>1301</v>
      </c>
      <c r="D8" s="562" t="s">
        <v>1302</v>
      </c>
      <c r="E8" s="561"/>
      <c r="F8" s="562"/>
      <c r="G8" s="561"/>
      <c r="H8" s="562">
        <v>210061.8</v>
      </c>
      <c r="I8" s="562" t="s">
        <v>420</v>
      </c>
      <c r="J8" s="562" t="s">
        <v>1295</v>
      </c>
      <c r="K8" s="562" t="s">
        <v>1296</v>
      </c>
    </row>
    <row r="9" spans="2:11">
      <c r="B9" s="219" t="s">
        <v>1303</v>
      </c>
      <c r="C9" s="559" t="s">
        <v>1304</v>
      </c>
      <c r="D9" s="560" t="s">
        <v>1305</v>
      </c>
      <c r="E9" s="559"/>
      <c r="F9" s="560"/>
      <c r="G9" s="559"/>
      <c r="H9" s="560">
        <v>5217</v>
      </c>
      <c r="I9" s="560" t="s">
        <v>420</v>
      </c>
      <c r="J9" s="560" t="s">
        <v>1295</v>
      </c>
      <c r="K9" s="560" t="s">
        <v>1296</v>
      </c>
    </row>
    <row r="10" spans="2:11">
      <c r="B10" s="220" t="s">
        <v>1303</v>
      </c>
      <c r="C10" s="844" t="s">
        <v>1771</v>
      </c>
      <c r="D10" s="564" t="s">
        <v>1306</v>
      </c>
      <c r="E10" s="563"/>
      <c r="F10" s="564"/>
      <c r="G10" s="563"/>
      <c r="H10" s="564">
        <v>317552</v>
      </c>
      <c r="I10" s="564" t="s">
        <v>420</v>
      </c>
      <c r="J10" s="562" t="s">
        <v>1295</v>
      </c>
      <c r="K10" s="564" t="s">
        <v>1296</v>
      </c>
    </row>
    <row r="11" spans="2:11">
      <c r="B11" s="565"/>
      <c r="C11" s="565"/>
      <c r="D11" s="565"/>
      <c r="E11" s="565"/>
      <c r="F11" s="565"/>
      <c r="G11" s="565"/>
      <c r="H11" s="566"/>
      <c r="I11" s="565"/>
      <c r="J11" s="13"/>
    </row>
    <row r="12" spans="2:11">
      <c r="B12" s="550"/>
      <c r="C12" s="547" t="s">
        <v>1066</v>
      </c>
      <c r="D12" s="547"/>
      <c r="E12" s="97"/>
      <c r="F12" s="97"/>
      <c r="G12" s="97"/>
      <c r="H12" s="98"/>
      <c r="I12" s="98"/>
      <c r="J12" s="97"/>
      <c r="K12" s="97"/>
    </row>
    <row r="13" spans="2:11">
      <c r="B13" s="550"/>
      <c r="C13" s="547" t="s">
        <v>1066</v>
      </c>
      <c r="D13" s="547"/>
      <c r="E13" s="97"/>
      <c r="F13" s="97"/>
      <c r="G13" s="97"/>
      <c r="H13" s="98"/>
      <c r="I13" s="98"/>
      <c r="J13" s="97"/>
      <c r="K13" s="97"/>
    </row>
    <row r="14" spans="2:11">
      <c r="B14" s="550"/>
      <c r="C14" s="547" t="s">
        <v>1066</v>
      </c>
      <c r="D14" s="547"/>
      <c r="E14" s="97"/>
      <c r="F14" s="97"/>
      <c r="G14" s="97"/>
      <c r="H14" s="98"/>
      <c r="I14" s="98"/>
      <c r="J14" s="97"/>
      <c r="K14" s="97"/>
    </row>
    <row r="15" spans="2:11">
      <c r="B15" s="550"/>
      <c r="C15" s="547" t="s">
        <v>1066</v>
      </c>
      <c r="D15" s="547"/>
      <c r="E15" s="97"/>
      <c r="F15" s="97"/>
      <c r="G15" s="97"/>
      <c r="H15" s="98"/>
      <c r="I15" s="98"/>
      <c r="J15" s="97"/>
      <c r="K15" s="97"/>
    </row>
    <row r="16" spans="2:11">
      <c r="B16" s="550"/>
      <c r="C16" s="547" t="s">
        <v>1066</v>
      </c>
      <c r="D16" s="547"/>
      <c r="E16" s="97"/>
      <c r="F16" s="97"/>
      <c r="G16" s="97"/>
      <c r="H16" s="98"/>
      <c r="I16" s="98"/>
      <c r="J16" s="97"/>
      <c r="K16" s="97"/>
    </row>
    <row r="17" spans="2:11">
      <c r="B17" s="550"/>
      <c r="C17" s="547" t="s">
        <v>1066</v>
      </c>
      <c r="D17" s="547"/>
      <c r="E17" s="97"/>
      <c r="F17" s="97"/>
      <c r="G17" s="97"/>
      <c r="H17" s="98"/>
      <c r="I17" s="98"/>
      <c r="J17" s="97"/>
      <c r="K17" s="97"/>
    </row>
    <row r="18" spans="2:11">
      <c r="H18" s="4"/>
    </row>
    <row r="19" spans="2:11">
      <c r="B19" s="996" t="s">
        <v>1886</v>
      </c>
      <c r="H19" s="4"/>
    </row>
    <row r="20" spans="2:11">
      <c r="B20" s="996" t="s">
        <v>1887</v>
      </c>
      <c r="H20" s="4"/>
    </row>
    <row r="21" spans="2:11">
      <c r="B21" s="996" t="s">
        <v>1888</v>
      </c>
      <c r="H21" s="4"/>
    </row>
    <row r="22" spans="2:11">
      <c r="H22" s="4"/>
    </row>
    <row r="23" spans="2:11">
      <c r="H23" s="4"/>
    </row>
    <row r="24" spans="2:11">
      <c r="H24" s="4"/>
    </row>
    <row r="25" spans="2:11">
      <c r="H25" s="4"/>
    </row>
    <row r="26" spans="2:11">
      <c r="H26" s="4"/>
    </row>
  </sheetData>
  <hyperlinks>
    <hyperlink ref="B19" location="'Aufbau LCC-CO2-Tool'!A1" display="zurück zur Übersicht" xr:uid="{C194FD88-F847-4E9F-A550-C3ACE4F7AEBC}"/>
    <hyperlink ref="B20" location="'Anleitung für Beschaffende'!A20" display="zurück zur Anleitung für Beschaffende " xr:uid="{F70327BB-255A-40A8-B030-362F8B4DB1F3}"/>
    <hyperlink ref="B21" location="'Anleitung für Bietende'!A18" display="zurück zur Anleitung für Bietende" xr:uid="{29E02B3F-484E-44D5-ADBF-4BCCE74C47F5}"/>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Umweltbundesamtes&amp;C&amp;8Emissionsfaktoren Lebenszyklus&amp;R&amp;8&amp;P</oddFooter>
  </headerFooter>
  <drawing r:id="rId2"/>
  <legacyDrawing r:id="rId3"/>
  <tableParts count="1">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7">
    <tabColor rgb="FFC5C5C9"/>
    <pageSetUpPr fitToPage="1"/>
  </sheetPr>
  <dimension ref="A1:G18"/>
  <sheetViews>
    <sheetView showGridLines="0" workbookViewId="0"/>
  </sheetViews>
  <sheetFormatPr baseColWidth="10" defaultColWidth="11.08203125" defaultRowHeight="14.5"/>
  <cols>
    <col min="1" max="1" width="2.08203125" style="618" customWidth="1"/>
    <col min="2" max="2" width="3.58203125" style="612" customWidth="1"/>
    <col min="3" max="3" width="86.25" style="613" customWidth="1"/>
    <col min="4" max="4" width="3.58203125" style="3" customWidth="1"/>
    <col min="5" max="5" width="2.08203125" style="1" customWidth="1"/>
    <col min="6" max="16384" width="11.08203125" style="1"/>
  </cols>
  <sheetData>
    <row r="1" spans="1:7" ht="12" customHeight="1">
      <c r="A1" s="609"/>
      <c r="B1" s="610"/>
      <c r="C1" s="611"/>
      <c r="D1" s="608"/>
      <c r="E1" s="607"/>
    </row>
    <row r="2" spans="1:7" ht="33.5" customHeight="1">
      <c r="A2" s="609"/>
      <c r="C2" s="619" t="s">
        <v>21</v>
      </c>
      <c r="D2" s="50"/>
      <c r="E2" s="606"/>
    </row>
    <row r="3" spans="1:7" ht="43.5">
      <c r="A3" s="609"/>
      <c r="C3" s="1002" t="s">
        <v>1905</v>
      </c>
      <c r="E3" s="606"/>
      <c r="G3" s="996" t="s">
        <v>1886</v>
      </c>
    </row>
    <row r="4" spans="1:7">
      <c r="A4" s="611"/>
      <c r="B4" s="614"/>
      <c r="E4" s="606"/>
      <c r="G4" s="996" t="s">
        <v>1887</v>
      </c>
    </row>
    <row r="5" spans="1:7" ht="108.5" customHeight="1">
      <c r="A5" s="611"/>
      <c r="B5" s="614"/>
      <c r="C5" s="615" t="s">
        <v>1692</v>
      </c>
      <c r="E5" s="606"/>
      <c r="G5" s="1000" t="s">
        <v>1888</v>
      </c>
    </row>
    <row r="6" spans="1:7" ht="161.5">
      <c r="A6" s="611"/>
      <c r="B6" s="614"/>
      <c r="C6" s="967" t="s">
        <v>1856</v>
      </c>
      <c r="E6" s="606"/>
    </row>
    <row r="7" spans="1:7" ht="36.5" customHeight="1">
      <c r="A7" s="611"/>
      <c r="B7" s="614"/>
      <c r="C7" s="1003" t="s">
        <v>1857</v>
      </c>
      <c r="E7" s="606"/>
    </row>
    <row r="8" spans="1:7">
      <c r="A8" s="611"/>
      <c r="B8" s="614"/>
      <c r="C8" s="613" t="s">
        <v>1693</v>
      </c>
      <c r="E8" s="606"/>
    </row>
    <row r="9" spans="1:7">
      <c r="A9" s="611"/>
      <c r="B9" s="614"/>
      <c r="C9" s="1004" t="s">
        <v>1858</v>
      </c>
      <c r="E9" s="606"/>
    </row>
    <row r="10" spans="1:7">
      <c r="A10" s="611"/>
      <c r="B10" s="614"/>
      <c r="C10" s="616"/>
      <c r="E10" s="606"/>
    </row>
    <row r="11" spans="1:7" ht="12" customHeight="1">
      <c r="A11" s="611"/>
      <c r="B11" s="617"/>
      <c r="C11" s="611"/>
      <c r="D11" s="605"/>
      <c r="E11" s="606"/>
    </row>
    <row r="12" spans="1:7">
      <c r="A12" s="613"/>
      <c r="B12" s="614"/>
      <c r="D12" s="1"/>
    </row>
    <row r="13" spans="1:7">
      <c r="A13" s="613"/>
      <c r="B13" s="614"/>
      <c r="D13" s="1"/>
    </row>
    <row r="14" spans="1:7">
      <c r="A14" s="613"/>
      <c r="B14" s="614"/>
      <c r="D14" s="1"/>
    </row>
    <row r="15" spans="1:7">
      <c r="A15" s="613"/>
      <c r="B15" s="614"/>
    </row>
    <row r="16" spans="1:7">
      <c r="A16" s="613"/>
      <c r="B16" s="614"/>
    </row>
    <row r="17" spans="1:2">
      <c r="A17" s="613"/>
      <c r="B17" s="614"/>
    </row>
    <row r="18" spans="1:2">
      <c r="A18" s="613"/>
      <c r="B18" s="614"/>
    </row>
  </sheetData>
  <hyperlinks>
    <hyperlink ref="G3" location="'Aufbau LCC-CO2-Tool'!A1" display="zurück zur Übersicht" xr:uid="{1E2D8166-9409-451D-A500-4794118D4069}"/>
    <hyperlink ref="G4" location="'Anleitung für Beschaffende'!A1" display="zurück zur Anleitung für Beschaffende " xr:uid="{D671F014-A7FE-4AA1-9595-4BC97A2C75BA}"/>
    <hyperlink ref="G5" location="'Anleitung für Bietende'!A1" display="zurück zur Anleitung für Bietende" xr:uid="{5A5F599C-402B-4079-9233-91ACF084A31E}"/>
  </hyperlinks>
  <pageMargins left="0.70866141732283472" right="0.70866141732283472" top="0.78740157480314965" bottom="0.78740157480314965" header="0.31496062992125984" footer="0.31496062992125984"/>
  <pageSetup paperSize="9" scale="87" orientation="portrait" r:id="rId1"/>
  <headerFooter>
    <oddHeader>&amp;C&amp;14&amp;KFF0000TESTVERSION!</oddHeader>
    <oddFooter>&amp;L&amp;8LCC-CO2-Tool - Arbeitshilfe des Umweltbundesamtes&amp;C&amp;8Impressum&amp;R&amp;8&amp;P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9B637-8785-4ADD-A4DA-94E25021B52D}">
  <sheetPr>
    <tabColor theme="0" tint="-4.9989318521683403E-2"/>
    <pageSetUpPr fitToPage="1"/>
  </sheetPr>
  <dimension ref="A1:D52"/>
  <sheetViews>
    <sheetView showGridLines="0" topLeftCell="A12" zoomScaleNormal="100" workbookViewId="0">
      <selection activeCell="A12" sqref="A12"/>
    </sheetView>
  </sheetViews>
  <sheetFormatPr baseColWidth="10" defaultColWidth="11.08203125" defaultRowHeight="14.5"/>
  <cols>
    <col min="1" max="1" width="83.4140625" style="933" customWidth="1"/>
    <col min="2" max="2" width="19.6640625" style="998" customWidth="1"/>
    <col min="3" max="3" width="19.33203125" style="998" customWidth="1"/>
    <col min="4" max="16" width="19.33203125" style="253" customWidth="1"/>
    <col min="17" max="16384" width="11.08203125" style="253"/>
  </cols>
  <sheetData>
    <row r="1" spans="1:3" ht="38.5">
      <c r="A1" s="254" t="s">
        <v>1859</v>
      </c>
    </row>
    <row r="2" spans="1:3" ht="55.5" customHeight="1">
      <c r="A2" s="914" t="s">
        <v>1860</v>
      </c>
    </row>
    <row r="3" spans="1:3">
      <c r="A3" s="312"/>
    </row>
    <row r="4" spans="1:3" ht="24" thickBot="1">
      <c r="A4" s="915" t="s">
        <v>25</v>
      </c>
    </row>
    <row r="5" spans="1:3" ht="29">
      <c r="A5" s="968" t="s">
        <v>26</v>
      </c>
    </row>
    <row r="6" spans="1:3">
      <c r="A6" s="367" t="s">
        <v>27</v>
      </c>
    </row>
    <row r="7" spans="1:3" ht="43.5">
      <c r="A7" s="935" t="s">
        <v>1830</v>
      </c>
    </row>
    <row r="8" spans="1:3">
      <c r="A8" s="312"/>
    </row>
    <row r="9" spans="1:3" ht="23.5">
      <c r="A9" s="917" t="s">
        <v>1863</v>
      </c>
    </row>
    <row r="10" spans="1:3" ht="87">
      <c r="A10" s="346" t="s">
        <v>1869</v>
      </c>
      <c r="B10" s="1000" t="s">
        <v>1891</v>
      </c>
    </row>
    <row r="11" spans="1:3" ht="87">
      <c r="A11" s="346" t="s">
        <v>1911</v>
      </c>
      <c r="B11" s="1000" t="s">
        <v>1896</v>
      </c>
    </row>
    <row r="12" spans="1:3" ht="290">
      <c r="A12" s="346" t="s">
        <v>1877</v>
      </c>
      <c r="B12" s="1000" t="s">
        <v>1892</v>
      </c>
    </row>
    <row r="13" spans="1:3" ht="43.5">
      <c r="A13" s="347" t="s">
        <v>1868</v>
      </c>
      <c r="B13" s="1000" t="s">
        <v>1893</v>
      </c>
    </row>
    <row r="14" spans="1:3" ht="159.5">
      <c r="A14" s="348" t="s">
        <v>1882</v>
      </c>
      <c r="B14" s="999" t="s">
        <v>1897</v>
      </c>
      <c r="C14" s="999" t="s">
        <v>1898</v>
      </c>
    </row>
    <row r="15" spans="1:3" ht="217.5">
      <c r="A15" s="348" t="s">
        <v>1879</v>
      </c>
      <c r="B15" s="999"/>
      <c r="C15" s="999"/>
    </row>
    <row r="16" spans="1:3" ht="333.5">
      <c r="A16" s="348" t="s">
        <v>1880</v>
      </c>
      <c r="B16" s="999"/>
      <c r="C16" s="999"/>
    </row>
    <row r="17" spans="1:4" ht="45.5">
      <c r="A17" s="936" t="s">
        <v>1871</v>
      </c>
      <c r="B17" s="999" t="s">
        <v>1899</v>
      </c>
      <c r="C17" s="999" t="s">
        <v>1900</v>
      </c>
    </row>
    <row r="18" spans="1:4" ht="116">
      <c r="A18" s="937" t="s">
        <v>1872</v>
      </c>
      <c r="B18" s="999" t="s">
        <v>1901</v>
      </c>
      <c r="C18" s="999" t="s">
        <v>1894</v>
      </c>
      <c r="D18" s="999" t="s">
        <v>1895</v>
      </c>
    </row>
    <row r="19" spans="1:4">
      <c r="A19" s="312"/>
      <c r="B19" s="997"/>
    </row>
    <row r="20" spans="1:4" ht="23.5">
      <c r="A20" s="917" t="s">
        <v>1821</v>
      </c>
    </row>
    <row r="21" spans="1:4" ht="14.5" customHeight="1">
      <c r="A21" s="918" t="s">
        <v>30</v>
      </c>
    </row>
    <row r="22" spans="1:4">
      <c r="A22" s="919" t="s">
        <v>31</v>
      </c>
    </row>
    <row r="23" spans="1:4">
      <c r="A23" s="920"/>
    </row>
    <row r="24" spans="1:4" ht="174.5" thickBot="1">
      <c r="A24" s="1005" t="s">
        <v>1881</v>
      </c>
      <c r="B24" s="999" t="s">
        <v>1889</v>
      </c>
      <c r="C24" s="999" t="s">
        <v>1890</v>
      </c>
    </row>
    <row r="25" spans="1:4" ht="15.5" thickTop="1" thickBot="1">
      <c r="A25" s="916"/>
    </row>
    <row r="26" spans="1:4" ht="15" thickTop="1">
      <c r="A26" s="934" t="s">
        <v>1823</v>
      </c>
      <c r="B26" s="1000" t="s">
        <v>1891</v>
      </c>
    </row>
    <row r="27" spans="1:4">
      <c r="A27" s="921"/>
      <c r="B27" s="1000" t="s">
        <v>1896</v>
      </c>
    </row>
    <row r="28" spans="1:4" ht="218" thickBot="1">
      <c r="A28" s="971" t="s">
        <v>1861</v>
      </c>
      <c r="B28" s="1000" t="s">
        <v>1892</v>
      </c>
    </row>
    <row r="29" spans="1:4" ht="15.5" thickTop="1" thickBot="1">
      <c r="A29" s="916"/>
    </row>
    <row r="30" spans="1:4" ht="15" thickTop="1">
      <c r="A30" s="934" t="s">
        <v>1314</v>
      </c>
      <c r="B30" s="1000" t="s">
        <v>1893</v>
      </c>
    </row>
    <row r="31" spans="1:4">
      <c r="A31" s="921"/>
    </row>
    <row r="32" spans="1:4" ht="151" customHeight="1" thickBot="1">
      <c r="A32" s="956" t="s">
        <v>1839</v>
      </c>
    </row>
    <row r="33" spans="1:4" ht="15.5" thickTop="1" thickBot="1">
      <c r="A33" s="916"/>
    </row>
    <row r="34" spans="1:4" ht="15" thickTop="1">
      <c r="A34" s="922" t="s">
        <v>1825</v>
      </c>
    </row>
    <row r="35" spans="1:4" ht="201.5" customHeight="1">
      <c r="A35" s="969" t="s">
        <v>1873</v>
      </c>
      <c r="B35" s="999" t="s">
        <v>1897</v>
      </c>
      <c r="C35" s="999" t="s">
        <v>1898</v>
      </c>
    </row>
    <row r="36" spans="1:4" ht="87">
      <c r="A36" s="969" t="s">
        <v>1874</v>
      </c>
    </row>
    <row r="37" spans="1:4" ht="174">
      <c r="A37" s="969" t="s">
        <v>1865</v>
      </c>
    </row>
    <row r="38" spans="1:4" ht="160.5" customHeight="1" thickBot="1">
      <c r="A38" s="970" t="s">
        <v>1866</v>
      </c>
    </row>
    <row r="39" spans="1:4" ht="15.5" thickTop="1" thickBot="1">
      <c r="A39" s="916"/>
    </row>
    <row r="40" spans="1:4" ht="15" thickTop="1">
      <c r="A40" s="924" t="s">
        <v>1824</v>
      </c>
    </row>
    <row r="41" spans="1:4">
      <c r="A41" s="925"/>
    </row>
    <row r="42" spans="1:4" ht="232.5" thickBot="1">
      <c r="A42" s="926" t="s">
        <v>1870</v>
      </c>
      <c r="B42" s="999" t="s">
        <v>1899</v>
      </c>
      <c r="C42" s="999" t="s">
        <v>1900</v>
      </c>
    </row>
    <row r="43" spans="1:4" ht="15.5" thickTop="1" thickBot="1">
      <c r="A43" s="916"/>
    </row>
    <row r="44" spans="1:4" ht="15" thickTop="1">
      <c r="A44" s="927" t="s">
        <v>1841</v>
      </c>
    </row>
    <row r="45" spans="1:4">
      <c r="A45" s="928"/>
    </row>
    <row r="46" spans="1:4" ht="89.5" thickBot="1">
      <c r="A46" s="929" t="s">
        <v>1842</v>
      </c>
      <c r="B46" s="999" t="s">
        <v>1902</v>
      </c>
      <c r="C46" s="999" t="s">
        <v>1903</v>
      </c>
      <c r="D46" s="999" t="s">
        <v>1904</v>
      </c>
    </row>
    <row r="47" spans="1:4" ht="15.5" thickTop="1" thickBot="1">
      <c r="A47" s="916"/>
      <c r="D47" s="998"/>
    </row>
    <row r="48" spans="1:4" ht="15.5" thickTop="1" thickBot="1">
      <c r="A48" s="930" t="s">
        <v>37</v>
      </c>
      <c r="D48" s="998"/>
    </row>
    <row r="49" spans="1:4" ht="15" thickTop="1">
      <c r="A49" s="931"/>
      <c r="D49" s="998"/>
    </row>
    <row r="50" spans="1:4" ht="101.5">
      <c r="A50" s="931" t="s">
        <v>1862</v>
      </c>
      <c r="B50" s="999" t="s">
        <v>1901</v>
      </c>
      <c r="C50" s="999" t="s">
        <v>1894</v>
      </c>
      <c r="D50" s="999" t="s">
        <v>1895</v>
      </c>
    </row>
    <row r="51" spans="1:4" ht="15" thickBot="1">
      <c r="A51" s="932"/>
    </row>
    <row r="52" spans="1:4" ht="15" thickTop="1">
      <c r="A52" s="916"/>
    </row>
  </sheetData>
  <hyperlinks>
    <hyperlink ref="B10" location="Einmalkosten!A1" display="Zum Tabellenblatt Einmalkosten" xr:uid="{56762D52-5CE3-48F2-8D84-E2D67CA8199F}"/>
    <hyperlink ref="B11" location="'Transport+Installationskosten'!A1" display="Zum Tabellenblatt Transport + Installationskosten" xr:uid="{45D4DE17-7166-4569-90F9-FAD66300F28B}"/>
    <hyperlink ref="B12" location="'Laufende Kosten'!A1" display="Zum Tabellenblatt Laufende Kosten" xr:uid="{4F1EEC81-F57D-4BD9-9743-46259AFAE06F}"/>
    <hyperlink ref="B13" location="Investitionsrechnung!A1" display="Zum Tabellenblatt Investitionsrechnung" xr:uid="{EC5B8F0C-A624-49CF-BD5C-73CFBF9B1C2E}"/>
    <hyperlink ref="B14" location="'THG-Emissionen mit Zertifikat'!A1" display="'THG-Emissionen mit Zertifikat'!A1" xr:uid="{F253B53D-BCE5-43A4-99CB-91CE51AA4E0B}"/>
    <hyperlink ref="C14" location="'THG-Emissionen ohne Zertifikat'!A1" display="'THG-Emissionen ohne Zertifikat'!A1" xr:uid="{537D2ECF-645F-47CC-A51A-CF8667A58C82}"/>
    <hyperlink ref="B17" location="'Ergebnis LCC inkl. CO2-Kosten'!A1" display="'Ergebnis LCC inkl. CO2-Kosten'!A1" xr:uid="{6EED03B5-1890-4205-89A2-ED41554D2129}"/>
    <hyperlink ref="C17" location="'Ergebnis LCC ohne CO2-Kosten'!A1" display="'Ergebnis LCC ohne CO2-Kosten'!A1" xr:uid="{DDA207B2-89A9-4345-8376-BD9524E5122B}"/>
    <hyperlink ref="B18" location="Emissionsfaktoren_Stoffe!A1" display="Emissionsfaktoren_Stoffe!A1" xr:uid="{9FD93D33-CF05-4450-B422-23E903874DAC}"/>
    <hyperlink ref="C18" location="Emissionsfaktoren_Prozesse!A1" display="Zum Tabellenblatt Emissionsfaktoren Prozesse" xr:uid="{BA7A14FB-A18B-49AF-B3F9-FFDE03D7C913}"/>
    <hyperlink ref="B24" location="'Punktevergabe Übersicht'!A1" display="zum Tabellenblatt Punktevergabe Übersicht" xr:uid="{5377FE89-957D-4F22-8C4F-23FD926DA74D}"/>
    <hyperlink ref="C24" location="'Punktevergabe Details'!A1" display="zum Tabellenblatt Punktevergabe Details" xr:uid="{494CB873-1B10-4E3D-93EB-D8069B5BA7D2}"/>
    <hyperlink ref="B26" location="Einmalkosten!A1" display="Zum Tabellenblatt Einmalkosten" xr:uid="{1F232938-C5F7-4EDF-8DCE-00672363F142}"/>
    <hyperlink ref="B27" location="'Transport+Installationskosten'!A1" display="Zum Tabellenblatt Transport + Installationskosten" xr:uid="{CF245A2C-62E6-4E9F-9146-06FDEDBF4CC7}"/>
    <hyperlink ref="B28" location="'Laufende Kosten'!A1" display="Zum Tabellenblatt Laufende Kosten" xr:uid="{0FB52440-3B7C-4363-B437-4CCAB4C4ECD7}"/>
    <hyperlink ref="B30" location="Investitionsrechnung!A1" display="Zum Tabellenblatt Investitionsrechnung" xr:uid="{9CC2B99C-9CD5-4262-A697-11B1CA0309B6}"/>
    <hyperlink ref="B35" location="'THG-Emissionen mit Zertifikat'!A1" display="'THG-Emissionen mit Zertifikat'!A1" xr:uid="{DA05AD5E-26C0-4FEB-B476-E85EFBBB7BE0}"/>
    <hyperlink ref="C35" location="'THG-Emissionen ohne Zertifikat'!A1" display="'THG-Emissionen ohne Zertifikat'!A1" xr:uid="{176CADDC-C72A-40A7-BEF9-E022F32E273C}"/>
    <hyperlink ref="B42" location="'Ergebnis LCC inkl. CO2-Kosten'!A1" display="'Ergebnis LCC inkl. CO2-Kosten'!A1" xr:uid="{5F75D9FC-40AC-4B4F-B3B7-D13EF2EA19F3}"/>
    <hyperlink ref="C42" location="'Ergebnis LCC ohne CO2-Kosten'!A1" display="'Ergebnis LCC ohne CO2-Kosten'!A1" xr:uid="{9C33CDF8-5CF0-4C55-B1C0-231B313F494E}"/>
    <hyperlink ref="C46" location="'Transport + Installation'!A1" display="Zum Tabellenblatt Transport+Installation" xr:uid="{63D1528B-44FD-40CC-AB42-C69FF8BE814A}"/>
    <hyperlink ref="B50" location="Emissionsfaktoren_Stoffe!A1" display="Emissionsfaktoren_Stoffe!A1" xr:uid="{74ADC202-9843-481C-95FC-314DF206B2D5}"/>
    <hyperlink ref="C50" location="Emissionsfaktoren_Prozesse!A1" display="Zum Tabellenblatt Emissionsfaktoren Prozesse" xr:uid="{DB5CFA54-2DA7-4B08-B442-A7B5561C094E}"/>
    <hyperlink ref="B46" location="Produktion!A1" display="Produktion!A1" xr:uid="{BB7915F9-864E-4C46-B29F-A7BFA96560ED}"/>
    <hyperlink ref="D18" location="Emissionsfaktoren_Lebenszyklus!A1" display="Zum Tabellenblatt Emissionsfaktoren Lebenszyklus" xr:uid="{CC981F7E-7744-4AE8-85BE-5162AC1E05BF}"/>
    <hyperlink ref="D46" location="Nutzung!A1" display="Zum Tabellenblatt Nutzung" xr:uid="{CABABD45-9744-42D7-83F9-6E3B38B575D0}"/>
    <hyperlink ref="D50" location="Emissionsfaktoren_Lebenszyklus!A1" display="Zum Tabellenblatt Emissionsfaktoren Lebenszyklus" xr:uid="{8E25B9BF-10C1-4F6B-8A82-F95CE0A0BD92}"/>
  </hyperlinks>
  <pageMargins left="0.70866141732283472" right="0.70866141732283472" top="0.78740157480314965" bottom="0.78740157480314965" header="0.31496062992125984" footer="0.31496062992125984"/>
  <pageSetup paperSize="9" scale="98" fitToHeight="0" orientation="portrait" r:id="rId1"/>
  <headerFooter>
    <oddHeader>&amp;C&amp;14&amp;KFF0000TESTVERSION!</oddHeader>
    <oddFooter>&amp;L&amp;8LCC-CO2-Tool - Arbeitshilfe des Umweltbundesamtes&amp;C&amp;8Anleitung für Beschaffende&amp;R&amp;8&amp;P</oddFooter>
  </headerFooter>
  <rowBreaks count="2" manualBreakCount="2">
    <brk id="18" max="16383" man="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56BA0-582D-48C6-B0A4-CB87F89A22F2}">
  <sheetPr codeName="Tabelle18">
    <tabColor theme="0" tint="-4.9989318521683403E-2"/>
  </sheetPr>
  <dimension ref="A1:S97"/>
  <sheetViews>
    <sheetView topLeftCell="A76" zoomScaleNormal="100" workbookViewId="0">
      <selection activeCell="D27" sqref="D27"/>
    </sheetView>
  </sheetViews>
  <sheetFormatPr baseColWidth="10" defaultColWidth="11.08203125" defaultRowHeight="14.5"/>
  <cols>
    <col min="1" max="1" width="2.08203125" style="55" customWidth="1"/>
    <col min="2" max="3" width="11.08203125" style="55"/>
    <col min="4" max="4" width="13.83203125" style="55" customWidth="1"/>
    <col min="5" max="5" width="17.75" style="55" customWidth="1"/>
    <col min="6" max="18" width="11.08203125" style="55"/>
    <col min="19" max="19" width="48.08203125" style="55" customWidth="1"/>
    <col min="20" max="16384" width="11.08203125" style="55"/>
  </cols>
  <sheetData>
    <row r="1" spans="1:19" ht="66.650000000000006" customHeight="1">
      <c r="A1" s="358"/>
      <c r="B1" s="197" t="s">
        <v>38</v>
      </c>
      <c r="C1" s="369"/>
      <c r="D1" s="369"/>
      <c r="E1" s="369"/>
      <c r="F1" s="358"/>
      <c r="G1" s="358"/>
      <c r="H1" s="68"/>
      <c r="I1" s="68"/>
      <c r="J1" s="68"/>
      <c r="K1" s="68"/>
      <c r="L1" s="68"/>
      <c r="M1" s="358"/>
      <c r="N1" s="358"/>
      <c r="O1" s="358"/>
      <c r="P1" s="358"/>
      <c r="Q1" s="358"/>
      <c r="R1" s="358"/>
      <c r="S1" s="358"/>
    </row>
    <row r="3" spans="1:19" ht="23.5">
      <c r="A3" s="358"/>
      <c r="B3" s="96" t="s">
        <v>39</v>
      </c>
      <c r="C3" s="358"/>
      <c r="D3" s="358"/>
      <c r="E3" s="358"/>
      <c r="F3" s="358"/>
      <c r="G3" s="358"/>
      <c r="H3" s="358"/>
      <c r="I3" s="358"/>
      <c r="J3" s="358"/>
      <c r="K3" s="358"/>
      <c r="L3" s="358"/>
      <c r="M3" s="358"/>
      <c r="N3" s="358"/>
      <c r="O3" s="358"/>
      <c r="P3" s="358"/>
      <c r="Q3" s="358"/>
      <c r="R3" s="358"/>
      <c r="S3" s="358"/>
    </row>
    <row r="5" spans="1:19">
      <c r="A5" s="358"/>
      <c r="B5" s="358" t="s">
        <v>40</v>
      </c>
      <c r="C5" s="358"/>
      <c r="D5" s="358"/>
      <c r="E5" s="358"/>
      <c r="F5" s="358"/>
      <c r="G5" s="358"/>
      <c r="H5" s="358"/>
      <c r="I5" s="358"/>
      <c r="J5" s="358"/>
      <c r="K5" s="358"/>
      <c r="L5" s="358"/>
      <c r="M5" s="358"/>
      <c r="N5" s="358"/>
      <c r="O5" s="358"/>
      <c r="P5" s="358"/>
      <c r="Q5" s="358"/>
      <c r="R5" s="358"/>
      <c r="S5" s="358"/>
    </row>
    <row r="7" spans="1:19">
      <c r="A7" s="358"/>
      <c r="B7" s="358" t="s">
        <v>41</v>
      </c>
      <c r="C7" s="358"/>
      <c r="D7" s="370" t="s">
        <v>42</v>
      </c>
      <c r="E7" s="370"/>
      <c r="F7" s="358"/>
      <c r="G7" s="371" t="s">
        <v>43</v>
      </c>
      <c r="H7" s="372"/>
      <c r="I7" s="372"/>
      <c r="J7" s="372"/>
      <c r="K7" s="372"/>
      <c r="L7" s="373"/>
      <c r="M7" s="358"/>
      <c r="N7" s="358"/>
      <c r="O7" s="358"/>
      <c r="P7" s="358"/>
      <c r="Q7" s="358"/>
      <c r="R7" s="358"/>
      <c r="S7" s="358"/>
    </row>
    <row r="8" spans="1:19">
      <c r="A8" s="358"/>
      <c r="B8" s="358"/>
      <c r="C8" s="358"/>
      <c r="D8" s="374" t="s">
        <v>44</v>
      </c>
      <c r="E8" s="374"/>
      <c r="F8" s="358"/>
      <c r="G8" s="375" t="s">
        <v>45</v>
      </c>
      <c r="H8" s="376"/>
      <c r="I8" s="376"/>
      <c r="J8" s="376"/>
      <c r="K8" s="376"/>
      <c r="L8" s="377"/>
      <c r="M8" s="358"/>
      <c r="N8" s="358"/>
      <c r="O8" s="358"/>
      <c r="P8" s="358"/>
      <c r="Q8" s="358"/>
      <c r="R8" s="358"/>
      <c r="S8" s="358"/>
    </row>
    <row r="10" spans="1:19" ht="15" thickBot="1">
      <c r="A10" s="358"/>
      <c r="B10" s="358"/>
      <c r="C10" s="358"/>
      <c r="D10" s="358"/>
      <c r="E10" s="358"/>
      <c r="F10" s="358"/>
      <c r="G10" s="358"/>
      <c r="H10" s="358"/>
      <c r="I10" s="358"/>
      <c r="J10" s="358"/>
      <c r="K10" s="358"/>
      <c r="L10" s="358"/>
      <c r="M10" s="358"/>
      <c r="N10" s="358"/>
      <c r="O10" s="358"/>
      <c r="P10" s="358"/>
      <c r="Q10" s="358"/>
      <c r="R10" s="358"/>
      <c r="S10" s="358"/>
    </row>
    <row r="11" spans="1:19" ht="15" thickTop="1">
      <c r="A11" s="358"/>
      <c r="B11" s="124" t="s">
        <v>46</v>
      </c>
      <c r="C11" s="378"/>
      <c r="D11" s="378"/>
      <c r="E11" s="125"/>
      <c r="F11" s="125"/>
      <c r="G11" s="125"/>
      <c r="H11" s="125"/>
      <c r="I11" s="125"/>
      <c r="J11" s="125"/>
      <c r="K11" s="125"/>
      <c r="L11" s="125"/>
      <c r="M11" s="125"/>
      <c r="N11" s="125"/>
      <c r="O11" s="125"/>
      <c r="P11" s="125"/>
      <c r="Q11" s="125"/>
      <c r="R11" s="125"/>
      <c r="S11" s="126"/>
    </row>
    <row r="12" spans="1:19">
      <c r="A12" s="358"/>
      <c r="B12" s="379"/>
      <c r="C12" s="358"/>
      <c r="D12" s="358"/>
      <c r="E12" s="358"/>
      <c r="F12" s="358"/>
      <c r="G12" s="358"/>
      <c r="H12" s="358"/>
      <c r="I12" s="358"/>
      <c r="J12" s="358"/>
      <c r="K12" s="358"/>
      <c r="L12" s="358"/>
      <c r="M12" s="358"/>
      <c r="N12" s="358"/>
      <c r="O12" s="358"/>
      <c r="P12" s="358"/>
      <c r="Q12" s="358"/>
      <c r="R12" s="358"/>
      <c r="S12" s="380"/>
    </row>
    <row r="13" spans="1:19">
      <c r="A13" s="358"/>
      <c r="B13" s="379"/>
      <c r="C13" s="358"/>
      <c r="D13" s="358"/>
      <c r="E13" s="358"/>
      <c r="F13" s="358"/>
      <c r="G13" s="358"/>
      <c r="H13" s="358"/>
      <c r="I13" s="358"/>
      <c r="J13" s="358"/>
      <c r="K13" s="358"/>
      <c r="L13" s="358"/>
      <c r="M13" s="358"/>
      <c r="N13" s="358"/>
      <c r="O13" s="358"/>
      <c r="P13" s="358"/>
      <c r="Q13" s="358"/>
      <c r="R13" s="358"/>
      <c r="S13" s="380"/>
    </row>
    <row r="14" spans="1:19">
      <c r="A14" s="358"/>
      <c r="B14" s="379"/>
      <c r="C14" s="358"/>
      <c r="D14" s="358"/>
      <c r="E14" s="358"/>
      <c r="F14" s="358"/>
      <c r="G14" s="358"/>
      <c r="H14" s="358"/>
      <c r="I14" s="358"/>
      <c r="J14" s="358"/>
      <c r="K14" s="358"/>
      <c r="L14" s="358"/>
      <c r="M14" s="358"/>
      <c r="N14" s="358"/>
      <c r="O14" s="358"/>
      <c r="P14" s="358"/>
      <c r="Q14" s="358"/>
      <c r="R14" s="358"/>
      <c r="S14" s="380"/>
    </row>
    <row r="15" spans="1:19">
      <c r="A15" s="358"/>
      <c r="B15" s="381" t="s">
        <v>47</v>
      </c>
      <c r="C15" s="382"/>
      <c r="D15" s="382"/>
      <c r="E15" s="358"/>
      <c r="F15" s="358"/>
      <c r="G15" s="358"/>
      <c r="H15" s="358"/>
      <c r="I15" s="358"/>
      <c r="J15" s="358"/>
      <c r="K15" s="358"/>
      <c r="L15" s="358"/>
      <c r="M15" s="358"/>
      <c r="N15" s="358"/>
      <c r="O15" s="358"/>
      <c r="P15" s="358"/>
      <c r="Q15" s="358"/>
      <c r="R15" s="358"/>
      <c r="S15" s="380"/>
    </row>
    <row r="16" spans="1:19">
      <c r="A16" s="358"/>
      <c r="B16" s="223" t="s">
        <v>48</v>
      </c>
      <c r="C16" s="382"/>
      <c r="D16" s="382"/>
      <c r="E16" s="382"/>
      <c r="F16" s="382"/>
      <c r="G16" s="358"/>
      <c r="H16" s="358"/>
      <c r="I16" s="358"/>
      <c r="J16" s="358"/>
      <c r="K16" s="358"/>
      <c r="L16" s="358"/>
      <c r="M16" s="358"/>
      <c r="N16" s="358"/>
      <c r="O16" s="358"/>
      <c r="P16" s="358"/>
      <c r="Q16" s="358"/>
      <c r="R16" s="358"/>
      <c r="S16" s="380"/>
    </row>
    <row r="17" spans="1:19">
      <c r="A17" s="358"/>
      <c r="B17" s="223" t="s">
        <v>49</v>
      </c>
      <c r="C17" s="382"/>
      <c r="D17" s="382"/>
      <c r="E17" s="382"/>
      <c r="F17" s="382"/>
      <c r="G17" s="358"/>
      <c r="H17" s="358"/>
      <c r="I17" s="358"/>
      <c r="J17" s="358"/>
      <c r="K17" s="358"/>
      <c r="L17" s="358"/>
      <c r="M17" s="358"/>
      <c r="N17" s="358"/>
      <c r="O17" s="358"/>
      <c r="P17" s="358"/>
      <c r="Q17" s="358"/>
      <c r="R17" s="358"/>
      <c r="S17" s="380"/>
    </row>
    <row r="18" spans="1:19">
      <c r="A18" s="358"/>
      <c r="B18" s="379"/>
      <c r="C18" s="358"/>
      <c r="D18" s="358"/>
      <c r="E18" s="358"/>
      <c r="F18" s="358"/>
      <c r="G18" s="358"/>
      <c r="H18" s="358"/>
      <c r="I18" s="358"/>
      <c r="J18" s="358"/>
      <c r="K18" s="358"/>
      <c r="L18" s="358"/>
      <c r="M18" s="358"/>
      <c r="N18" s="358"/>
      <c r="O18" s="358"/>
      <c r="P18" s="358"/>
      <c r="Q18" s="358"/>
      <c r="R18" s="358"/>
      <c r="S18" s="380"/>
    </row>
    <row r="19" spans="1:19">
      <c r="A19" s="358"/>
      <c r="B19" s="379"/>
      <c r="C19" s="358"/>
      <c r="D19" s="358"/>
      <c r="E19" s="358"/>
      <c r="F19" s="358"/>
      <c r="G19" s="358"/>
      <c r="H19" s="358"/>
      <c r="I19" s="358"/>
      <c r="J19" s="358"/>
      <c r="K19" s="358"/>
      <c r="L19" s="358"/>
      <c r="M19" s="358"/>
      <c r="N19" s="358"/>
      <c r="O19" s="358"/>
      <c r="P19" s="358"/>
      <c r="Q19" s="358"/>
      <c r="R19" s="358"/>
      <c r="S19" s="380"/>
    </row>
    <row r="20" spans="1:19" ht="15" thickBot="1">
      <c r="A20" s="358"/>
      <c r="B20" s="383"/>
      <c r="C20" s="384"/>
      <c r="D20" s="384"/>
      <c r="E20" s="384"/>
      <c r="F20" s="384"/>
      <c r="G20" s="384"/>
      <c r="H20" s="384"/>
      <c r="I20" s="384"/>
      <c r="J20" s="384"/>
      <c r="K20" s="384"/>
      <c r="L20" s="384"/>
      <c r="M20" s="384"/>
      <c r="N20" s="384"/>
      <c r="O20" s="384"/>
      <c r="P20" s="384"/>
      <c r="Q20" s="384"/>
      <c r="R20" s="384"/>
      <c r="S20" s="385"/>
    </row>
    <row r="21" spans="1:19" ht="15.5" thickTop="1" thickBot="1">
      <c r="A21" s="358"/>
      <c r="B21" s="358"/>
      <c r="C21" s="358"/>
      <c r="D21" s="358"/>
      <c r="E21" s="358"/>
      <c r="F21" s="358"/>
      <c r="G21" s="358"/>
      <c r="H21" s="358"/>
      <c r="I21" s="358"/>
      <c r="J21" s="358"/>
      <c r="K21" s="358"/>
      <c r="L21" s="358"/>
      <c r="M21" s="358"/>
      <c r="N21" s="358"/>
      <c r="O21" s="358"/>
      <c r="P21" s="358"/>
      <c r="Q21" s="358"/>
      <c r="R21" s="358"/>
      <c r="S21" s="358"/>
    </row>
    <row r="22" spans="1:19" ht="15" thickTop="1">
      <c r="A22" s="358"/>
      <c r="B22" s="135" t="s">
        <v>32</v>
      </c>
      <c r="C22" s="136"/>
      <c r="D22" s="136"/>
      <c r="E22" s="136"/>
      <c r="F22" s="136"/>
      <c r="G22" s="136"/>
      <c r="H22" s="136"/>
      <c r="I22" s="136"/>
      <c r="J22" s="136"/>
      <c r="K22" s="136"/>
      <c r="L22" s="136"/>
      <c r="M22" s="136"/>
      <c r="N22" s="136"/>
      <c r="O22" s="136"/>
      <c r="P22" s="136"/>
      <c r="Q22" s="136"/>
      <c r="R22" s="136"/>
      <c r="S22" s="137"/>
    </row>
    <row r="23" spans="1:19">
      <c r="A23" s="358"/>
      <c r="B23" s="143"/>
      <c r="C23" s="62"/>
      <c r="D23" s="62"/>
      <c r="E23" s="62"/>
      <c r="F23" s="62"/>
      <c r="G23" s="62"/>
      <c r="H23" s="62"/>
      <c r="I23" s="62"/>
      <c r="J23" s="62"/>
      <c r="K23" s="62"/>
      <c r="L23" s="62"/>
      <c r="M23" s="62"/>
      <c r="N23" s="62"/>
      <c r="O23" s="62"/>
      <c r="P23" s="62"/>
      <c r="Q23" s="62"/>
      <c r="R23" s="62"/>
      <c r="S23" s="138"/>
    </row>
    <row r="24" spans="1:19" ht="15" thickBot="1">
      <c r="A24" s="358"/>
      <c r="B24" s="144" t="s">
        <v>50</v>
      </c>
      <c r="C24" s="139"/>
      <c r="D24" s="139"/>
      <c r="E24" s="139"/>
      <c r="F24" s="139"/>
      <c r="G24" s="139"/>
      <c r="H24" s="139"/>
      <c r="I24" s="139"/>
      <c r="J24" s="139"/>
      <c r="K24" s="139"/>
      <c r="L24" s="139"/>
      <c r="M24" s="139"/>
      <c r="N24" s="139"/>
      <c r="O24" s="139"/>
      <c r="P24" s="139"/>
      <c r="Q24" s="139"/>
      <c r="R24" s="139"/>
      <c r="S24" s="140"/>
    </row>
    <row r="25" spans="1:19" ht="15.5" thickTop="1" thickBot="1">
      <c r="A25" s="358"/>
      <c r="B25" s="62"/>
      <c r="C25" s="62"/>
      <c r="D25" s="62"/>
      <c r="E25" s="62"/>
      <c r="F25" s="62"/>
      <c r="G25" s="62"/>
      <c r="H25" s="62"/>
      <c r="I25" s="62"/>
      <c r="J25" s="62"/>
      <c r="K25" s="62"/>
      <c r="L25" s="62"/>
      <c r="M25" s="62"/>
      <c r="N25" s="62"/>
      <c r="O25" s="62"/>
      <c r="P25" s="62"/>
      <c r="Q25" s="62"/>
      <c r="R25" s="62"/>
      <c r="S25" s="62"/>
    </row>
    <row r="26" spans="1:19" ht="15" thickTop="1">
      <c r="A26" s="358"/>
      <c r="B26" s="135" t="s">
        <v>33</v>
      </c>
      <c r="C26" s="136"/>
      <c r="D26" s="136"/>
      <c r="E26" s="136"/>
      <c r="F26" s="136"/>
      <c r="G26" s="136"/>
      <c r="H26" s="136"/>
      <c r="I26" s="136"/>
      <c r="J26" s="136"/>
      <c r="K26" s="136"/>
      <c r="L26" s="136"/>
      <c r="M26" s="136"/>
      <c r="N26" s="136"/>
      <c r="O26" s="136"/>
      <c r="P26" s="136"/>
      <c r="Q26" s="136"/>
      <c r="R26" s="136"/>
      <c r="S26" s="137"/>
    </row>
    <row r="27" spans="1:19">
      <c r="A27" s="358"/>
      <c r="B27" s="143"/>
      <c r="C27" s="62"/>
      <c r="D27" s="62"/>
      <c r="E27" s="62"/>
      <c r="F27" s="62"/>
      <c r="G27" s="62"/>
      <c r="H27" s="62"/>
      <c r="I27" s="62"/>
      <c r="J27" s="62"/>
      <c r="K27" s="62"/>
      <c r="L27" s="62"/>
      <c r="M27" s="62"/>
      <c r="N27" s="62"/>
      <c r="O27" s="62"/>
      <c r="P27" s="62"/>
      <c r="Q27" s="62"/>
      <c r="R27" s="62"/>
      <c r="S27" s="138"/>
    </row>
    <row r="28" spans="1:19" ht="15" thickBot="1">
      <c r="A28" s="358"/>
      <c r="B28" s="144" t="s">
        <v>51</v>
      </c>
      <c r="C28" s="139"/>
      <c r="D28" s="139"/>
      <c r="E28" s="139"/>
      <c r="F28" s="139"/>
      <c r="G28" s="139"/>
      <c r="H28" s="139"/>
      <c r="I28" s="139"/>
      <c r="J28" s="139"/>
      <c r="K28" s="139"/>
      <c r="L28" s="139"/>
      <c r="M28" s="139"/>
      <c r="N28" s="139"/>
      <c r="O28" s="139"/>
      <c r="P28" s="139"/>
      <c r="Q28" s="139"/>
      <c r="R28" s="139"/>
      <c r="S28" s="140"/>
    </row>
    <row r="29" spans="1:19" ht="15.5" thickTop="1" thickBot="1">
      <c r="A29" s="358"/>
      <c r="B29" s="358"/>
      <c r="C29" s="358"/>
      <c r="D29" s="358"/>
      <c r="E29" s="358"/>
      <c r="F29" s="358"/>
      <c r="G29" s="358"/>
      <c r="H29" s="358"/>
      <c r="I29" s="358"/>
      <c r="J29" s="358"/>
      <c r="K29" s="358"/>
      <c r="L29" s="358"/>
      <c r="M29" s="358"/>
      <c r="N29" s="358"/>
      <c r="O29" s="358"/>
      <c r="P29" s="358"/>
      <c r="Q29" s="358"/>
      <c r="R29" s="358"/>
      <c r="S29" s="358"/>
    </row>
    <row r="30" spans="1:19" ht="15" thickTop="1">
      <c r="A30" s="358"/>
      <c r="B30" s="135" t="s">
        <v>34</v>
      </c>
      <c r="C30" s="136"/>
      <c r="D30" s="136"/>
      <c r="E30" s="136"/>
      <c r="F30" s="386"/>
      <c r="G30" s="386"/>
      <c r="H30" s="386"/>
      <c r="I30" s="386"/>
      <c r="J30" s="386"/>
      <c r="K30" s="386"/>
      <c r="L30" s="386"/>
      <c r="M30" s="386"/>
      <c r="N30" s="386"/>
      <c r="O30" s="386"/>
      <c r="P30" s="386"/>
      <c r="Q30" s="386"/>
      <c r="R30" s="386"/>
      <c r="S30" s="387"/>
    </row>
    <row r="31" spans="1:19">
      <c r="A31" s="358"/>
      <c r="B31" s="388"/>
      <c r="C31" s="358"/>
      <c r="D31" s="358"/>
      <c r="E31" s="358"/>
      <c r="F31" s="358"/>
      <c r="G31" s="358"/>
      <c r="H31" s="358"/>
      <c r="I31" s="358"/>
      <c r="J31" s="358"/>
      <c r="K31" s="358"/>
      <c r="L31" s="358"/>
      <c r="M31" s="358"/>
      <c r="N31" s="358"/>
      <c r="O31" s="358"/>
      <c r="P31" s="358"/>
      <c r="Q31" s="358"/>
      <c r="R31" s="358"/>
      <c r="S31" s="389"/>
    </row>
    <row r="32" spans="1:19">
      <c r="A32" s="358"/>
      <c r="B32" s="388" t="s">
        <v>52</v>
      </c>
      <c r="C32" s="358"/>
      <c r="D32" s="358"/>
      <c r="E32" s="358"/>
      <c r="F32" s="358"/>
      <c r="G32" s="358"/>
      <c r="H32" s="358"/>
      <c r="I32" s="358"/>
      <c r="J32" s="358"/>
      <c r="K32" s="358"/>
      <c r="L32" s="358"/>
      <c r="M32" s="358"/>
      <c r="N32" s="358"/>
      <c r="O32" s="358"/>
      <c r="P32" s="358"/>
      <c r="Q32" s="358"/>
      <c r="R32" s="358"/>
      <c r="S32" s="389"/>
    </row>
    <row r="33" spans="2:19">
      <c r="B33" s="388" t="s">
        <v>53</v>
      </c>
      <c r="C33" s="358"/>
      <c r="D33" s="358"/>
      <c r="E33" s="358"/>
      <c r="F33" s="358"/>
      <c r="G33" s="358"/>
      <c r="H33" s="358"/>
      <c r="I33" s="358"/>
      <c r="J33" s="358"/>
      <c r="K33" s="358"/>
      <c r="L33" s="358"/>
      <c r="M33" s="358"/>
      <c r="N33" s="358"/>
      <c r="O33" s="358"/>
      <c r="P33" s="358"/>
      <c r="Q33" s="358"/>
      <c r="R33" s="358"/>
      <c r="S33" s="389"/>
    </row>
    <row r="34" spans="2:19">
      <c r="B34" s="388" t="s">
        <v>54</v>
      </c>
      <c r="C34" s="358"/>
      <c r="D34" s="358"/>
      <c r="E34" s="358"/>
      <c r="F34" s="358"/>
      <c r="G34" s="358"/>
      <c r="H34" s="358"/>
      <c r="I34" s="358"/>
      <c r="J34" s="358"/>
      <c r="K34" s="358"/>
      <c r="L34" s="358"/>
      <c r="M34" s="358"/>
      <c r="N34" s="358"/>
      <c r="O34" s="358"/>
      <c r="P34" s="358"/>
      <c r="Q34" s="358"/>
      <c r="R34" s="358"/>
      <c r="S34" s="389"/>
    </row>
    <row r="35" spans="2:19" ht="15" thickBot="1">
      <c r="B35" s="390" t="s">
        <v>55</v>
      </c>
      <c r="C35" s="391"/>
      <c r="D35" s="391"/>
      <c r="E35" s="391"/>
      <c r="F35" s="391"/>
      <c r="G35" s="391"/>
      <c r="H35" s="391"/>
      <c r="I35" s="391"/>
      <c r="J35" s="391"/>
      <c r="K35" s="391"/>
      <c r="L35" s="391"/>
      <c r="M35" s="391"/>
      <c r="N35" s="391"/>
      <c r="O35" s="391"/>
      <c r="P35" s="391"/>
      <c r="Q35" s="391"/>
      <c r="R35" s="391"/>
      <c r="S35" s="392"/>
    </row>
    <row r="36" spans="2:19" ht="15.5" thickTop="1" thickBot="1">
      <c r="B36" s="358"/>
      <c r="C36" s="358"/>
      <c r="D36" s="358"/>
      <c r="E36" s="358"/>
      <c r="F36" s="358"/>
      <c r="G36" s="358"/>
      <c r="H36" s="358"/>
      <c r="I36" s="358"/>
      <c r="J36" s="358"/>
      <c r="K36" s="358"/>
      <c r="L36" s="358"/>
      <c r="M36" s="358"/>
      <c r="N36" s="358"/>
      <c r="O36" s="358"/>
      <c r="P36" s="358"/>
      <c r="Q36" s="358"/>
      <c r="R36" s="358"/>
      <c r="S36" s="358"/>
    </row>
    <row r="37" spans="2:19" s="253" customFormat="1" ht="15" thickTop="1">
      <c r="B37" s="255" t="s">
        <v>1314</v>
      </c>
    </row>
    <row r="38" spans="2:19" s="253" customFormat="1">
      <c r="B38" s="368"/>
    </row>
    <row r="39" spans="2:19" s="253" customFormat="1" ht="15" thickBot="1">
      <c r="B39" s="589" t="s">
        <v>1315</v>
      </c>
    </row>
    <row r="40" spans="2:19" s="253" customFormat="1" ht="15.5" thickTop="1" thickBot="1">
      <c r="B40" s="365"/>
    </row>
    <row r="41" spans="2:19" ht="15" thickTop="1">
      <c r="B41" s="172" t="s">
        <v>35</v>
      </c>
      <c r="C41" s="393"/>
      <c r="D41" s="393"/>
      <c r="E41" s="393"/>
      <c r="F41" s="393"/>
      <c r="G41" s="393"/>
      <c r="H41" s="393"/>
      <c r="I41" s="393"/>
      <c r="J41" s="393"/>
      <c r="K41" s="393"/>
      <c r="L41" s="393"/>
      <c r="M41" s="393"/>
      <c r="N41" s="393"/>
      <c r="O41" s="393"/>
      <c r="P41" s="393"/>
      <c r="Q41" s="393"/>
      <c r="R41" s="393"/>
      <c r="S41" s="394"/>
    </row>
    <row r="42" spans="2:19">
      <c r="B42" s="395"/>
      <c r="C42" s="358"/>
      <c r="D42" s="358"/>
      <c r="E42" s="358"/>
      <c r="F42" s="358"/>
      <c r="G42" s="358"/>
      <c r="H42" s="358"/>
      <c r="I42" s="358"/>
      <c r="J42" s="358"/>
      <c r="K42" s="358"/>
      <c r="L42" s="358"/>
      <c r="M42" s="358"/>
      <c r="N42" s="358"/>
      <c r="O42" s="358"/>
      <c r="P42" s="358"/>
      <c r="Q42" s="358"/>
      <c r="R42" s="358"/>
      <c r="S42" s="396"/>
    </row>
    <row r="43" spans="2:19">
      <c r="B43" s="395" t="s">
        <v>56</v>
      </c>
      <c r="C43" s="358"/>
      <c r="D43" s="358"/>
      <c r="E43" s="358"/>
      <c r="F43" s="358"/>
      <c r="G43" s="358"/>
      <c r="H43" s="358"/>
      <c r="I43" s="358"/>
      <c r="J43" s="358"/>
      <c r="K43" s="358"/>
      <c r="L43" s="358"/>
      <c r="M43" s="358"/>
      <c r="N43" s="358"/>
      <c r="O43" s="358"/>
      <c r="P43" s="358"/>
      <c r="Q43" s="358"/>
      <c r="R43" s="358"/>
      <c r="S43" s="396"/>
    </row>
    <row r="44" spans="2:19">
      <c r="B44" s="395" t="s">
        <v>57</v>
      </c>
      <c r="C44" s="358"/>
      <c r="D44" s="358"/>
      <c r="E44" s="358"/>
      <c r="F44" s="358"/>
      <c r="G44" s="358"/>
      <c r="H44" s="358"/>
      <c r="I44" s="358"/>
      <c r="J44" s="358"/>
      <c r="K44" s="358"/>
      <c r="L44" s="358"/>
      <c r="M44" s="358"/>
      <c r="N44" s="358"/>
      <c r="O44" s="358"/>
      <c r="P44" s="358"/>
      <c r="Q44" s="358"/>
      <c r="R44" s="358"/>
      <c r="S44" s="396"/>
    </row>
    <row r="45" spans="2:19">
      <c r="B45" s="395" t="s">
        <v>58</v>
      </c>
      <c r="C45" s="358"/>
      <c r="D45" s="358"/>
      <c r="E45" s="358"/>
      <c r="F45" s="358"/>
      <c r="G45" s="358"/>
      <c r="H45" s="358"/>
      <c r="I45" s="358"/>
      <c r="J45" s="358"/>
      <c r="K45" s="358"/>
      <c r="L45" s="358"/>
      <c r="M45" s="358"/>
      <c r="N45" s="358"/>
      <c r="O45" s="358"/>
      <c r="P45" s="358"/>
      <c r="Q45" s="358"/>
      <c r="R45" s="358"/>
      <c r="S45" s="396"/>
    </row>
    <row r="46" spans="2:19">
      <c r="B46" s="395" t="s">
        <v>59</v>
      </c>
      <c r="C46" s="358"/>
      <c r="D46" s="358"/>
      <c r="E46" s="358"/>
      <c r="F46" s="358"/>
      <c r="G46" s="358"/>
      <c r="H46" s="358"/>
      <c r="I46" s="358"/>
      <c r="J46" s="358"/>
      <c r="K46" s="358"/>
      <c r="L46" s="358"/>
      <c r="M46" s="358"/>
      <c r="N46" s="358"/>
      <c r="O46" s="358"/>
      <c r="P46" s="358"/>
      <c r="Q46" s="358"/>
      <c r="R46" s="358"/>
      <c r="S46" s="396"/>
    </row>
    <row r="47" spans="2:19">
      <c r="B47" s="395"/>
      <c r="C47" s="358"/>
      <c r="D47" s="358"/>
      <c r="E47" s="358"/>
      <c r="F47" s="358"/>
      <c r="G47" s="358"/>
      <c r="H47" s="358"/>
      <c r="I47" s="358"/>
      <c r="J47" s="358"/>
      <c r="K47" s="358"/>
      <c r="L47" s="358"/>
      <c r="M47" s="358"/>
      <c r="N47" s="358"/>
      <c r="O47" s="358"/>
      <c r="P47" s="358"/>
      <c r="Q47" s="358"/>
      <c r="R47" s="358"/>
      <c r="S47" s="396"/>
    </row>
    <row r="48" spans="2:19">
      <c r="B48" s="395" t="s">
        <v>60</v>
      </c>
      <c r="C48" s="358"/>
      <c r="D48" s="358"/>
      <c r="E48" s="358"/>
      <c r="F48" s="358"/>
      <c r="G48" s="358"/>
      <c r="H48" s="358"/>
      <c r="I48" s="358"/>
      <c r="J48" s="358"/>
      <c r="K48" s="358"/>
      <c r="L48" s="358"/>
      <c r="M48" s="358"/>
      <c r="N48" s="358"/>
      <c r="O48" s="358"/>
      <c r="P48" s="358"/>
      <c r="Q48" s="358"/>
      <c r="R48" s="358"/>
      <c r="S48" s="396"/>
    </row>
    <row r="49" spans="2:19">
      <c r="B49" s="395"/>
      <c r="C49" s="358"/>
      <c r="D49" s="358"/>
      <c r="E49" s="358"/>
      <c r="F49" s="358"/>
      <c r="G49" s="358"/>
      <c r="H49" s="358"/>
      <c r="I49" s="358"/>
      <c r="J49" s="358"/>
      <c r="K49" s="358"/>
      <c r="L49" s="358"/>
      <c r="M49" s="358"/>
      <c r="N49" s="358"/>
      <c r="O49" s="358"/>
      <c r="P49" s="358"/>
      <c r="Q49" s="358"/>
      <c r="R49" s="358"/>
      <c r="S49" s="396"/>
    </row>
    <row r="50" spans="2:19" ht="16.5">
      <c r="B50" s="395" t="s">
        <v>61</v>
      </c>
      <c r="C50" s="358"/>
      <c r="D50" s="358"/>
      <c r="E50" s="358"/>
      <c r="F50" s="358"/>
      <c r="G50" s="358"/>
      <c r="H50" s="358"/>
      <c r="I50" s="358"/>
      <c r="J50" s="358"/>
      <c r="K50" s="358"/>
      <c r="L50" s="358"/>
      <c r="M50" s="358"/>
      <c r="N50" s="358"/>
      <c r="O50" s="358"/>
      <c r="P50" s="358"/>
      <c r="Q50" s="358"/>
      <c r="R50" s="358"/>
      <c r="S50" s="396"/>
    </row>
    <row r="51" spans="2:19">
      <c r="B51" s="395" t="s">
        <v>62</v>
      </c>
      <c r="C51" s="358"/>
      <c r="D51" s="358"/>
      <c r="E51" s="358"/>
      <c r="F51" s="358"/>
      <c r="G51" s="358"/>
      <c r="H51" s="358"/>
      <c r="I51" s="358"/>
      <c r="J51" s="358"/>
      <c r="K51" s="358"/>
      <c r="L51" s="358"/>
      <c r="M51" s="358"/>
      <c r="N51" s="358"/>
      <c r="O51" s="358"/>
      <c r="P51" s="358"/>
      <c r="Q51" s="358"/>
      <c r="R51" s="358"/>
      <c r="S51" s="396"/>
    </row>
    <row r="52" spans="2:19">
      <c r="B52" s="395"/>
      <c r="C52" s="358"/>
      <c r="D52" s="358"/>
      <c r="E52" s="358"/>
      <c r="F52" s="358"/>
      <c r="G52" s="358"/>
      <c r="H52" s="358"/>
      <c r="I52" s="358"/>
      <c r="J52" s="358"/>
      <c r="K52" s="358"/>
      <c r="L52" s="358"/>
      <c r="M52" s="358"/>
      <c r="N52" s="358"/>
      <c r="O52" s="358"/>
      <c r="P52" s="358"/>
      <c r="Q52" s="358"/>
      <c r="R52" s="358"/>
      <c r="S52" s="396"/>
    </row>
    <row r="53" spans="2:19">
      <c r="B53" s="395" t="s">
        <v>63</v>
      </c>
      <c r="C53" s="358"/>
      <c r="D53" s="358"/>
      <c r="E53" s="358"/>
      <c r="F53" s="358"/>
      <c r="G53" s="358"/>
      <c r="H53" s="358"/>
      <c r="I53" s="358"/>
      <c r="J53" s="358"/>
      <c r="K53" s="358"/>
      <c r="L53" s="358"/>
      <c r="M53" s="358"/>
      <c r="N53" s="358"/>
      <c r="O53" s="358"/>
      <c r="P53" s="358"/>
      <c r="Q53" s="358"/>
      <c r="R53" s="358"/>
      <c r="S53" s="396"/>
    </row>
    <row r="54" spans="2:19">
      <c r="B54" s="395" t="s">
        <v>64</v>
      </c>
      <c r="C54" s="358"/>
      <c r="D54" s="358"/>
      <c r="E54" s="358"/>
      <c r="F54" s="358"/>
      <c r="G54" s="358"/>
      <c r="H54" s="358"/>
      <c r="I54" s="358"/>
      <c r="J54" s="358"/>
      <c r="K54" s="358"/>
      <c r="L54" s="358"/>
      <c r="M54" s="358"/>
      <c r="N54" s="358"/>
      <c r="O54" s="358"/>
      <c r="P54" s="358"/>
      <c r="Q54" s="358"/>
      <c r="R54" s="358"/>
      <c r="S54" s="396"/>
    </row>
    <row r="55" spans="2:19">
      <c r="B55" s="395" t="s">
        <v>65</v>
      </c>
      <c r="C55" s="358"/>
      <c r="D55" s="358"/>
      <c r="E55" s="358"/>
      <c r="F55" s="358"/>
      <c r="G55" s="358"/>
      <c r="H55" s="358"/>
      <c r="I55" s="358"/>
      <c r="J55" s="358"/>
      <c r="K55" s="358"/>
      <c r="L55" s="358"/>
      <c r="M55" s="358"/>
      <c r="N55" s="358"/>
      <c r="O55" s="358"/>
      <c r="P55" s="358"/>
      <c r="Q55" s="358"/>
      <c r="R55" s="358"/>
      <c r="S55" s="396"/>
    </row>
    <row r="56" spans="2:19">
      <c r="B56" s="395"/>
      <c r="C56" s="358"/>
      <c r="D56" s="358"/>
      <c r="E56" s="358"/>
      <c r="F56" s="358"/>
      <c r="G56" s="358"/>
      <c r="H56" s="358"/>
      <c r="I56" s="358"/>
      <c r="J56" s="358"/>
      <c r="K56" s="358"/>
      <c r="L56" s="358"/>
      <c r="M56" s="358"/>
      <c r="N56" s="358"/>
      <c r="O56" s="358"/>
      <c r="P56" s="358"/>
      <c r="Q56" s="358"/>
      <c r="R56" s="358"/>
      <c r="S56" s="396"/>
    </row>
    <row r="57" spans="2:19">
      <c r="B57" s="169" t="s">
        <v>66</v>
      </c>
      <c r="C57" s="358"/>
      <c r="D57" s="358"/>
      <c r="E57" s="358"/>
      <c r="F57" s="358"/>
      <c r="G57" s="358"/>
      <c r="H57" s="358"/>
      <c r="I57" s="358"/>
      <c r="J57" s="358"/>
      <c r="K57" s="358"/>
      <c r="L57" s="358"/>
      <c r="M57" s="358"/>
      <c r="N57" s="358"/>
      <c r="O57" s="358"/>
      <c r="P57" s="358"/>
      <c r="Q57" s="358"/>
      <c r="R57" s="358"/>
      <c r="S57" s="396"/>
    </row>
    <row r="58" spans="2:19">
      <c r="B58" s="395" t="s">
        <v>67</v>
      </c>
      <c r="C58" s="358"/>
      <c r="D58" s="358"/>
      <c r="E58" s="358"/>
      <c r="F58" s="358"/>
      <c r="G58" s="358"/>
      <c r="H58" s="358"/>
      <c r="I58" s="358"/>
      <c r="J58" s="358"/>
      <c r="K58" s="358"/>
      <c r="L58" s="358"/>
      <c r="M58" s="358"/>
      <c r="N58" s="358"/>
      <c r="O58" s="358"/>
      <c r="P58" s="358"/>
      <c r="Q58" s="358"/>
      <c r="R58" s="358"/>
      <c r="S58" s="396"/>
    </row>
    <row r="59" spans="2:19">
      <c r="B59" s="395"/>
      <c r="C59" s="358"/>
      <c r="D59" s="358"/>
      <c r="E59" s="358"/>
      <c r="F59" s="358"/>
      <c r="G59" s="358"/>
      <c r="H59" s="358"/>
      <c r="I59" s="358"/>
      <c r="J59" s="358"/>
      <c r="K59" s="358"/>
      <c r="L59" s="358"/>
      <c r="M59" s="358"/>
      <c r="N59" s="358"/>
      <c r="O59" s="358"/>
      <c r="P59" s="358"/>
      <c r="Q59" s="358"/>
      <c r="R59" s="358"/>
      <c r="S59" s="396"/>
    </row>
    <row r="60" spans="2:19">
      <c r="B60" s="169" t="s">
        <v>68</v>
      </c>
      <c r="C60" s="358"/>
      <c r="D60" s="358"/>
      <c r="E60" s="358"/>
      <c r="F60" s="358"/>
      <c r="G60" s="358"/>
      <c r="H60" s="358"/>
      <c r="I60" s="358"/>
      <c r="J60" s="358"/>
      <c r="K60" s="358"/>
      <c r="L60" s="358"/>
      <c r="M60" s="358"/>
      <c r="N60" s="358"/>
      <c r="O60" s="358"/>
      <c r="P60" s="358"/>
      <c r="Q60" s="358"/>
      <c r="R60" s="358"/>
      <c r="S60" s="396"/>
    </row>
    <row r="61" spans="2:19">
      <c r="B61" s="395" t="s">
        <v>69</v>
      </c>
      <c r="C61" s="358"/>
      <c r="D61" s="358"/>
      <c r="E61" s="358"/>
      <c r="F61" s="358"/>
      <c r="G61" s="358"/>
      <c r="H61" s="358"/>
      <c r="I61" s="358"/>
      <c r="J61" s="358"/>
      <c r="K61" s="358"/>
      <c r="L61" s="358"/>
      <c r="M61" s="358"/>
      <c r="N61" s="358"/>
      <c r="O61" s="358"/>
      <c r="P61" s="358"/>
      <c r="Q61" s="358"/>
      <c r="R61" s="358"/>
      <c r="S61" s="396"/>
    </row>
    <row r="62" spans="2:19">
      <c r="B62" s="395" t="s">
        <v>70</v>
      </c>
      <c r="C62" s="358"/>
      <c r="D62" s="358"/>
      <c r="E62" s="358"/>
      <c r="F62" s="358"/>
      <c r="G62" s="358"/>
      <c r="H62" s="358"/>
      <c r="I62" s="358"/>
      <c r="J62" s="358"/>
      <c r="K62" s="358"/>
      <c r="L62" s="358"/>
      <c r="M62" s="358"/>
      <c r="N62" s="358"/>
      <c r="O62" s="358"/>
      <c r="P62" s="358"/>
      <c r="Q62" s="358"/>
      <c r="R62" s="358"/>
      <c r="S62" s="396"/>
    </row>
    <row r="63" spans="2:19">
      <c r="B63" s="395"/>
      <c r="C63" s="358"/>
      <c r="D63" s="358"/>
      <c r="E63" s="358"/>
      <c r="F63" s="358"/>
      <c r="G63" s="358"/>
      <c r="H63" s="358"/>
      <c r="I63" s="358"/>
      <c r="J63" s="358"/>
      <c r="K63" s="358"/>
      <c r="L63" s="358"/>
      <c r="M63" s="358"/>
      <c r="N63" s="358"/>
      <c r="O63" s="358"/>
      <c r="P63" s="358"/>
      <c r="Q63" s="358"/>
      <c r="R63" s="358"/>
      <c r="S63" s="396"/>
    </row>
    <row r="64" spans="2:19">
      <c r="B64" s="169" t="s">
        <v>71</v>
      </c>
      <c r="C64" s="358"/>
      <c r="D64" s="358"/>
      <c r="E64" s="358"/>
      <c r="F64" s="358"/>
      <c r="G64" s="358"/>
      <c r="H64" s="358"/>
      <c r="I64" s="358"/>
      <c r="J64" s="358"/>
      <c r="K64" s="358"/>
      <c r="L64" s="358"/>
      <c r="M64" s="358"/>
      <c r="N64" s="358"/>
      <c r="O64" s="358"/>
      <c r="P64" s="358"/>
      <c r="Q64" s="358"/>
      <c r="R64" s="358"/>
      <c r="S64" s="396"/>
    </row>
    <row r="65" spans="2:19">
      <c r="B65" s="395" t="s">
        <v>72</v>
      </c>
      <c r="C65" s="358"/>
      <c r="D65" s="358"/>
      <c r="E65" s="358"/>
      <c r="F65" s="358"/>
      <c r="G65" s="358"/>
      <c r="H65" s="358"/>
      <c r="I65" s="358"/>
      <c r="J65" s="358"/>
      <c r="K65" s="358"/>
      <c r="L65" s="358"/>
      <c r="M65" s="358"/>
      <c r="N65" s="358"/>
      <c r="O65" s="358"/>
      <c r="P65" s="358"/>
      <c r="Q65" s="358"/>
      <c r="R65" s="358"/>
      <c r="S65" s="396"/>
    </row>
    <row r="66" spans="2:19">
      <c r="B66" s="194" t="s">
        <v>73</v>
      </c>
      <c r="C66" s="195"/>
      <c r="D66" s="195"/>
      <c r="E66" s="195"/>
      <c r="F66" s="195"/>
      <c r="G66" s="358"/>
      <c r="H66" s="358"/>
      <c r="I66" s="358"/>
      <c r="J66" s="358"/>
      <c r="K66" s="358"/>
      <c r="L66" s="358"/>
      <c r="M66" s="358"/>
      <c r="N66" s="358"/>
      <c r="O66" s="358"/>
      <c r="P66" s="358"/>
      <c r="Q66" s="358"/>
      <c r="R66" s="358"/>
      <c r="S66" s="396"/>
    </row>
    <row r="67" spans="2:19">
      <c r="B67" s="170"/>
      <c r="C67" s="358"/>
      <c r="D67" s="358"/>
      <c r="E67" s="358"/>
      <c r="F67" s="358"/>
      <c r="G67" s="358"/>
      <c r="H67" s="358"/>
      <c r="I67" s="358"/>
      <c r="J67" s="358"/>
      <c r="K67" s="358"/>
      <c r="L67" s="358"/>
      <c r="M67" s="358"/>
      <c r="N67" s="358"/>
      <c r="O67" s="358"/>
      <c r="P67" s="358"/>
      <c r="Q67" s="358"/>
      <c r="R67" s="358"/>
      <c r="S67" s="396"/>
    </row>
    <row r="68" spans="2:19">
      <c r="B68" s="395" t="s">
        <v>74</v>
      </c>
      <c r="C68" s="358"/>
      <c r="D68" s="358"/>
      <c r="E68" s="358"/>
      <c r="F68" s="358"/>
      <c r="G68" s="358"/>
      <c r="H68" s="358"/>
      <c r="I68" s="358"/>
      <c r="J68" s="358"/>
      <c r="K68" s="358"/>
      <c r="L68" s="358"/>
      <c r="M68" s="358"/>
      <c r="N68" s="358"/>
      <c r="O68" s="358"/>
      <c r="P68" s="358"/>
      <c r="Q68" s="358"/>
      <c r="R68" s="358"/>
      <c r="S68" s="396"/>
    </row>
    <row r="69" spans="2:19">
      <c r="B69" s="395" t="s">
        <v>75</v>
      </c>
      <c r="C69" s="358"/>
      <c r="D69" s="358"/>
      <c r="E69" s="358"/>
      <c r="F69" s="358"/>
      <c r="G69" s="358"/>
      <c r="H69" s="358"/>
      <c r="I69" s="358"/>
      <c r="J69" s="358"/>
      <c r="K69" s="358"/>
      <c r="L69" s="358"/>
      <c r="M69" s="358"/>
      <c r="N69" s="358"/>
      <c r="O69" s="358"/>
      <c r="P69" s="358"/>
      <c r="Q69" s="358"/>
      <c r="R69" s="358"/>
      <c r="S69" s="396"/>
    </row>
    <row r="70" spans="2:19">
      <c r="B70" s="395" t="s">
        <v>76</v>
      </c>
      <c r="C70" s="358"/>
      <c r="D70" s="358"/>
      <c r="E70" s="358"/>
      <c r="F70" s="358"/>
      <c r="G70" s="358"/>
      <c r="H70" s="358"/>
      <c r="I70" s="358"/>
      <c r="J70" s="358"/>
      <c r="K70" s="358"/>
      <c r="L70" s="358"/>
      <c r="M70" s="358"/>
      <c r="N70" s="358"/>
      <c r="O70" s="358"/>
      <c r="P70" s="358"/>
      <c r="Q70" s="358"/>
      <c r="R70" s="358"/>
      <c r="S70" s="396"/>
    </row>
    <row r="71" spans="2:19">
      <c r="B71" s="395" t="s">
        <v>77</v>
      </c>
      <c r="C71" s="358"/>
      <c r="D71" s="358"/>
      <c r="E71" s="358"/>
      <c r="F71" s="358"/>
      <c r="G71" s="358"/>
      <c r="H71" s="358"/>
      <c r="I71" s="358"/>
      <c r="J71" s="358"/>
      <c r="K71" s="358"/>
      <c r="L71" s="358"/>
      <c r="M71" s="358"/>
      <c r="N71" s="358"/>
      <c r="O71" s="358"/>
      <c r="P71" s="358"/>
      <c r="Q71" s="358"/>
      <c r="R71" s="358"/>
      <c r="S71" s="396"/>
    </row>
    <row r="72" spans="2:19">
      <c r="B72" s="397" t="s">
        <v>78</v>
      </c>
      <c r="C72" s="382"/>
      <c r="D72" s="382"/>
      <c r="E72" s="382"/>
      <c r="F72" s="382"/>
      <c r="G72" s="382"/>
      <c r="H72" s="382"/>
      <c r="I72" s="358"/>
      <c r="J72" s="358"/>
      <c r="K72" s="358"/>
      <c r="L72" s="358"/>
      <c r="M72" s="358"/>
      <c r="N72" s="358"/>
      <c r="O72" s="358"/>
      <c r="P72" s="358"/>
      <c r="Q72" s="358"/>
      <c r="R72" s="358"/>
      <c r="S72" s="396"/>
    </row>
    <row r="73" spans="2:19">
      <c r="B73" s="395"/>
      <c r="C73" s="358"/>
      <c r="D73" s="358"/>
      <c r="E73" s="358"/>
      <c r="F73" s="358"/>
      <c r="G73" s="358"/>
      <c r="H73" s="358"/>
      <c r="I73" s="358"/>
      <c r="J73" s="358"/>
      <c r="K73" s="358"/>
      <c r="L73" s="358"/>
      <c r="M73" s="358"/>
      <c r="N73" s="358"/>
      <c r="O73" s="358"/>
      <c r="P73" s="358"/>
      <c r="Q73" s="358"/>
      <c r="R73" s="358"/>
      <c r="S73" s="396"/>
    </row>
    <row r="74" spans="2:19">
      <c r="B74" s="171" t="s">
        <v>79</v>
      </c>
      <c r="C74" s="358"/>
      <c r="D74" s="358"/>
      <c r="E74" s="358"/>
      <c r="F74" s="358"/>
      <c r="G74" s="358"/>
      <c r="H74" s="358"/>
      <c r="I74" s="358"/>
      <c r="J74" s="358"/>
      <c r="K74" s="358"/>
      <c r="L74" s="358"/>
      <c r="M74" s="358"/>
      <c r="N74" s="358"/>
      <c r="O74" s="358"/>
      <c r="P74" s="358"/>
      <c r="Q74" s="358"/>
      <c r="R74" s="358"/>
      <c r="S74" s="396"/>
    </row>
    <row r="75" spans="2:19">
      <c r="B75" s="171" t="s">
        <v>1810</v>
      </c>
      <c r="C75" s="358"/>
      <c r="D75" s="358"/>
      <c r="E75" s="358"/>
      <c r="F75" s="358"/>
      <c r="G75" s="358"/>
      <c r="H75" s="358"/>
      <c r="I75" s="358"/>
      <c r="J75" s="358"/>
      <c r="K75" s="358"/>
      <c r="L75" s="358"/>
      <c r="M75" s="358"/>
      <c r="N75" s="358"/>
      <c r="O75" s="358"/>
      <c r="P75" s="358"/>
      <c r="Q75" s="358"/>
      <c r="R75" s="358"/>
      <c r="S75" s="396"/>
    </row>
    <row r="76" spans="2:19">
      <c r="B76" s="395" t="s">
        <v>80</v>
      </c>
      <c r="C76" s="358"/>
      <c r="D76" s="358"/>
      <c r="E76" s="358"/>
      <c r="F76" s="358"/>
      <c r="G76" s="358"/>
      <c r="H76" s="358"/>
      <c r="I76" s="358"/>
      <c r="J76" s="358"/>
      <c r="K76" s="358"/>
      <c r="L76" s="358"/>
      <c r="M76" s="358"/>
      <c r="N76" s="358"/>
      <c r="O76" s="358"/>
      <c r="P76" s="358"/>
      <c r="Q76" s="358"/>
      <c r="R76" s="358"/>
      <c r="S76" s="396"/>
    </row>
    <row r="77" spans="2:19">
      <c r="B77" s="395"/>
      <c r="C77" s="358"/>
      <c r="D77" s="358"/>
      <c r="E77" s="358"/>
      <c r="F77" s="358"/>
      <c r="G77" s="358"/>
      <c r="H77" s="358"/>
      <c r="I77" s="358"/>
      <c r="J77" s="358"/>
      <c r="K77" s="358"/>
      <c r="L77" s="358"/>
      <c r="M77" s="358"/>
      <c r="N77" s="358"/>
      <c r="O77" s="358"/>
      <c r="P77" s="358"/>
      <c r="Q77" s="358"/>
      <c r="R77" s="358"/>
      <c r="S77" s="396"/>
    </row>
    <row r="78" spans="2:19">
      <c r="B78" s="395" t="s">
        <v>81</v>
      </c>
      <c r="C78" s="358"/>
      <c r="D78" s="358"/>
      <c r="E78" s="358"/>
      <c r="F78" s="358"/>
      <c r="G78" s="358"/>
      <c r="H78" s="358"/>
      <c r="I78" s="358"/>
      <c r="J78" s="358"/>
      <c r="K78" s="358"/>
      <c r="L78" s="358"/>
      <c r="M78" s="358"/>
      <c r="N78" s="358"/>
      <c r="O78" s="358"/>
      <c r="P78" s="358"/>
      <c r="Q78" s="358"/>
      <c r="R78" s="358"/>
      <c r="S78" s="396"/>
    </row>
    <row r="79" spans="2:19">
      <c r="B79" s="395" t="s">
        <v>82</v>
      </c>
      <c r="C79" s="358"/>
      <c r="D79" s="358"/>
      <c r="E79" s="358"/>
      <c r="F79" s="358"/>
      <c r="G79" s="358"/>
      <c r="H79" s="358"/>
      <c r="I79" s="358"/>
      <c r="J79" s="358"/>
      <c r="K79" s="358"/>
      <c r="L79" s="358"/>
      <c r="M79" s="358"/>
      <c r="N79" s="358"/>
      <c r="O79" s="358"/>
      <c r="P79" s="358"/>
      <c r="Q79" s="358"/>
      <c r="R79" s="358"/>
      <c r="S79" s="396"/>
    </row>
    <row r="80" spans="2:19">
      <c r="B80" s="395" t="s">
        <v>83</v>
      </c>
      <c r="C80" s="358"/>
      <c r="D80" s="358"/>
      <c r="E80" s="358"/>
      <c r="F80" s="358"/>
      <c r="G80" s="358"/>
      <c r="H80" s="358"/>
      <c r="I80" s="358"/>
      <c r="J80" s="358"/>
      <c r="K80" s="358"/>
      <c r="L80" s="358"/>
      <c r="M80" s="358"/>
      <c r="N80" s="358"/>
      <c r="O80" s="358"/>
      <c r="P80" s="358"/>
      <c r="Q80" s="358"/>
      <c r="R80" s="358"/>
      <c r="S80" s="396"/>
    </row>
    <row r="81" spans="2:19" ht="15" thickBot="1">
      <c r="B81" s="398" t="s">
        <v>84</v>
      </c>
      <c r="C81" s="399"/>
      <c r="D81" s="399"/>
      <c r="E81" s="399"/>
      <c r="F81" s="399"/>
      <c r="G81" s="399"/>
      <c r="H81" s="399"/>
      <c r="I81" s="399"/>
      <c r="J81" s="399"/>
      <c r="K81" s="399"/>
      <c r="L81" s="399"/>
      <c r="M81" s="399"/>
      <c r="N81" s="399"/>
      <c r="O81" s="399"/>
      <c r="P81" s="399"/>
      <c r="Q81" s="399"/>
      <c r="R81" s="399"/>
      <c r="S81" s="400"/>
    </row>
    <row r="82" spans="2:19" ht="15.5" thickTop="1" thickBot="1">
      <c r="B82" s="358"/>
      <c r="C82" s="358"/>
      <c r="D82" s="358"/>
      <c r="E82" s="358"/>
      <c r="F82" s="358"/>
      <c r="G82" s="358"/>
      <c r="H82" s="358"/>
      <c r="I82" s="358"/>
      <c r="J82" s="358"/>
      <c r="K82" s="358"/>
      <c r="L82" s="358"/>
      <c r="M82" s="358"/>
      <c r="N82" s="358"/>
      <c r="O82" s="358"/>
      <c r="P82" s="358"/>
      <c r="Q82" s="358"/>
      <c r="R82" s="358"/>
      <c r="S82" s="358"/>
    </row>
    <row r="83" spans="2:19" ht="15" thickTop="1">
      <c r="B83" s="127" t="s">
        <v>1811</v>
      </c>
      <c r="C83" s="133"/>
      <c r="D83" s="133"/>
      <c r="E83" s="133"/>
      <c r="F83" s="133"/>
      <c r="G83" s="133"/>
      <c r="H83" s="133"/>
      <c r="I83" s="133"/>
      <c r="J83" s="133"/>
      <c r="K83" s="133"/>
      <c r="L83" s="133"/>
      <c r="M83" s="133"/>
      <c r="N83" s="133"/>
      <c r="O83" s="133"/>
      <c r="P83" s="133"/>
      <c r="Q83" s="133"/>
      <c r="R83" s="133"/>
      <c r="S83" s="134"/>
    </row>
    <row r="84" spans="2:19">
      <c r="B84" s="128"/>
      <c r="C84" s="62"/>
      <c r="D84" s="62"/>
      <c r="E84" s="62"/>
      <c r="F84" s="62"/>
      <c r="G84" s="62"/>
      <c r="H84" s="62"/>
      <c r="I84" s="62"/>
      <c r="J84" s="62"/>
      <c r="K84" s="62"/>
      <c r="L84" s="62"/>
      <c r="M84" s="62"/>
      <c r="N84" s="62"/>
      <c r="O84" s="62"/>
      <c r="P84" s="62"/>
      <c r="Q84" s="62"/>
      <c r="R84" s="62"/>
      <c r="S84" s="129"/>
    </row>
    <row r="85" spans="2:19" ht="16.5">
      <c r="B85" s="128" t="s">
        <v>85</v>
      </c>
      <c r="C85" s="62"/>
      <c r="D85" s="62"/>
      <c r="E85" s="62"/>
      <c r="F85" s="62"/>
      <c r="G85" s="62"/>
      <c r="H85" s="62"/>
      <c r="I85" s="62"/>
      <c r="J85" s="62"/>
      <c r="K85" s="62"/>
      <c r="L85" s="62"/>
      <c r="M85" s="62"/>
      <c r="N85" s="62"/>
      <c r="O85" s="62"/>
      <c r="P85" s="62"/>
      <c r="Q85" s="62"/>
      <c r="R85" s="62"/>
      <c r="S85" s="129"/>
    </row>
    <row r="86" spans="2:19" ht="17" thickBot="1">
      <c r="B86" s="130" t="s">
        <v>86</v>
      </c>
      <c r="C86" s="131"/>
      <c r="D86" s="131"/>
      <c r="E86" s="131"/>
      <c r="F86" s="131"/>
      <c r="G86" s="131"/>
      <c r="H86" s="131"/>
      <c r="I86" s="131"/>
      <c r="J86" s="131"/>
      <c r="K86" s="131"/>
      <c r="L86" s="131"/>
      <c r="M86" s="131"/>
      <c r="N86" s="131"/>
      <c r="O86" s="131"/>
      <c r="P86" s="131"/>
      <c r="Q86" s="131"/>
      <c r="R86" s="131"/>
      <c r="S86" s="132"/>
    </row>
    <row r="87" spans="2:19" ht="15.5" thickTop="1" thickBot="1">
      <c r="B87" s="358"/>
      <c r="C87" s="358"/>
      <c r="D87" s="358"/>
      <c r="E87" s="358"/>
      <c r="F87" s="358"/>
      <c r="G87" s="358"/>
      <c r="H87" s="358"/>
      <c r="I87" s="358"/>
      <c r="J87" s="358"/>
      <c r="K87" s="358"/>
      <c r="L87" s="358"/>
      <c r="M87" s="358"/>
      <c r="N87" s="358"/>
      <c r="O87" s="358"/>
      <c r="P87" s="358"/>
      <c r="Q87" s="358"/>
      <c r="R87" s="358"/>
      <c r="S87" s="358"/>
    </row>
    <row r="88" spans="2:19" ht="15" thickTop="1">
      <c r="B88" s="150" t="s">
        <v>36</v>
      </c>
      <c r="C88" s="156"/>
      <c r="D88" s="156"/>
      <c r="E88" s="156"/>
      <c r="F88" s="156"/>
      <c r="G88" s="156"/>
      <c r="H88" s="156"/>
      <c r="I88" s="156"/>
      <c r="J88" s="156"/>
      <c r="K88" s="156"/>
      <c r="L88" s="156"/>
      <c r="M88" s="156"/>
      <c r="N88" s="156"/>
      <c r="O88" s="156"/>
      <c r="P88" s="156"/>
      <c r="Q88" s="156"/>
      <c r="R88" s="156"/>
      <c r="S88" s="157"/>
    </row>
    <row r="89" spans="2:19">
      <c r="B89" s="151"/>
      <c r="C89" s="62"/>
      <c r="D89" s="62"/>
      <c r="E89" s="62"/>
      <c r="F89" s="62"/>
      <c r="G89" s="62"/>
      <c r="H89" s="62"/>
      <c r="I89" s="62"/>
      <c r="J89" s="62"/>
      <c r="K89" s="62"/>
      <c r="L89" s="62"/>
      <c r="M89" s="62"/>
      <c r="N89" s="62"/>
      <c r="O89" s="62"/>
      <c r="P89" s="62"/>
      <c r="Q89" s="62"/>
      <c r="R89" s="62"/>
      <c r="S89" s="152"/>
    </row>
    <row r="90" spans="2:19" ht="16.5">
      <c r="B90" s="151" t="s">
        <v>87</v>
      </c>
      <c r="C90" s="62"/>
      <c r="D90" s="62"/>
      <c r="E90" s="62"/>
      <c r="F90" s="62"/>
      <c r="G90" s="62"/>
      <c r="H90" s="62"/>
      <c r="I90" s="62"/>
      <c r="J90" s="62"/>
      <c r="K90" s="62"/>
      <c r="L90" s="62"/>
      <c r="M90" s="62"/>
      <c r="N90" s="62"/>
      <c r="O90" s="62"/>
      <c r="P90" s="62"/>
      <c r="Q90" s="62"/>
      <c r="R90" s="62"/>
      <c r="S90" s="152"/>
    </row>
    <row r="91" spans="2:19" ht="15" thickBot="1">
      <c r="B91" s="153" t="s">
        <v>88</v>
      </c>
      <c r="C91" s="154"/>
      <c r="D91" s="154"/>
      <c r="E91" s="154"/>
      <c r="F91" s="154"/>
      <c r="G91" s="154"/>
      <c r="H91" s="154"/>
      <c r="I91" s="154"/>
      <c r="J91" s="154"/>
      <c r="K91" s="154"/>
      <c r="L91" s="154"/>
      <c r="M91" s="154"/>
      <c r="N91" s="154"/>
      <c r="O91" s="154"/>
      <c r="P91" s="154"/>
      <c r="Q91" s="154"/>
      <c r="R91" s="154"/>
      <c r="S91" s="155"/>
    </row>
    <row r="92" spans="2:19" ht="15.5" thickTop="1" thickBot="1">
      <c r="B92" s="358"/>
      <c r="C92" s="358"/>
      <c r="D92" s="358"/>
      <c r="E92" s="358"/>
      <c r="F92" s="358"/>
      <c r="G92" s="358"/>
      <c r="H92" s="358"/>
      <c r="I92" s="358"/>
      <c r="J92" s="358"/>
      <c r="K92" s="358"/>
      <c r="L92" s="358"/>
      <c r="M92" s="358"/>
      <c r="N92" s="358"/>
      <c r="O92" s="358"/>
      <c r="P92" s="358"/>
      <c r="Q92" s="358"/>
      <c r="R92" s="358"/>
      <c r="S92" s="358"/>
    </row>
    <row r="93" spans="2:19" ht="15.5" thickTop="1" thickBot="1">
      <c r="B93" s="161" t="s">
        <v>37</v>
      </c>
      <c r="C93" s="162"/>
      <c r="D93" s="162"/>
      <c r="E93" s="162"/>
      <c r="F93" s="162"/>
      <c r="G93" s="162"/>
      <c r="H93" s="162"/>
      <c r="I93" s="162"/>
      <c r="J93" s="162"/>
      <c r="K93" s="162"/>
      <c r="L93" s="162"/>
      <c r="M93" s="162"/>
      <c r="N93" s="162"/>
      <c r="O93" s="162"/>
      <c r="P93" s="162"/>
      <c r="Q93" s="162"/>
      <c r="R93" s="162"/>
      <c r="S93" s="163"/>
    </row>
    <row r="94" spans="2:19" ht="15" thickTop="1">
      <c r="B94" s="164"/>
      <c r="C94" s="81"/>
      <c r="D94" s="81"/>
      <c r="E94" s="81"/>
      <c r="F94" s="81"/>
      <c r="G94" s="81"/>
      <c r="H94" s="81"/>
      <c r="I94" s="81"/>
      <c r="J94" s="81"/>
      <c r="K94" s="81"/>
      <c r="L94" s="81"/>
      <c r="M94" s="81"/>
      <c r="N94" s="81"/>
      <c r="O94" s="81"/>
      <c r="P94" s="81"/>
      <c r="Q94" s="81"/>
      <c r="R94" s="81"/>
      <c r="S94" s="165"/>
    </row>
    <row r="95" spans="2:19">
      <c r="B95" s="111" t="s">
        <v>89</v>
      </c>
      <c r="C95" s="81"/>
      <c r="D95" s="81"/>
      <c r="E95" s="81"/>
      <c r="F95" s="81"/>
      <c r="G95" s="81"/>
      <c r="H95" s="81"/>
      <c r="I95" s="81"/>
      <c r="J95" s="81"/>
      <c r="K95" s="81"/>
      <c r="L95" s="81"/>
      <c r="M95" s="81"/>
      <c r="N95" s="81"/>
      <c r="O95" s="81"/>
      <c r="P95" s="81"/>
      <c r="Q95" s="81"/>
      <c r="R95" s="81"/>
      <c r="S95" s="165"/>
    </row>
    <row r="96" spans="2:19" ht="15" thickBot="1">
      <c r="B96" s="112" t="s">
        <v>90</v>
      </c>
      <c r="C96" s="166"/>
      <c r="D96" s="166"/>
      <c r="E96" s="166"/>
      <c r="F96" s="166"/>
      <c r="G96" s="166"/>
      <c r="H96" s="166"/>
      <c r="I96" s="166"/>
      <c r="J96" s="166"/>
      <c r="K96" s="166"/>
      <c r="L96" s="166"/>
      <c r="M96" s="166"/>
      <c r="N96" s="166"/>
      <c r="O96" s="166"/>
      <c r="P96" s="166"/>
      <c r="Q96" s="166"/>
      <c r="R96" s="166"/>
      <c r="S96" s="167"/>
    </row>
    <row r="97" spans="2:19" ht="15" thickTop="1">
      <c r="B97" s="358"/>
      <c r="C97" s="358"/>
      <c r="D97" s="358"/>
      <c r="E97" s="358"/>
      <c r="F97" s="358"/>
      <c r="G97" s="358"/>
      <c r="H97" s="358"/>
      <c r="I97" s="358"/>
      <c r="J97" s="358"/>
      <c r="K97" s="358"/>
      <c r="L97" s="358"/>
      <c r="M97" s="358"/>
      <c r="N97" s="358"/>
      <c r="O97" s="358"/>
      <c r="P97" s="358"/>
      <c r="Q97" s="358"/>
      <c r="R97" s="358"/>
      <c r="S97" s="358"/>
    </row>
  </sheetData>
  <pageMargins left="0.7" right="0.7" top="0.78740157499999996" bottom="0.78740157499999996" header="0.3" footer="0.3"/>
  <pageSetup paperSize="9" scale="37" orientation="portrait" r:id="rId1"/>
  <headerFooter>
    <oddFooter>&amp;L&amp;1#&amp;"Calibri"&amp;10&amp;KFFC000Klassifikation: TLP gelb (Adressatenkreis)</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28DE9-7B56-42CA-BC7F-D4C79B14906C}">
  <sheetPr codeName="Tabelle2">
    <tabColor rgb="FFFFD288"/>
    <pageSetUpPr fitToPage="1"/>
  </sheetPr>
  <dimension ref="A1:J44"/>
  <sheetViews>
    <sheetView showGridLines="0" topLeftCell="A25" zoomScaleNormal="100" zoomScalePageLayoutView="60" workbookViewId="0">
      <selection activeCell="E17" sqref="E17"/>
    </sheetView>
  </sheetViews>
  <sheetFormatPr baseColWidth="10" defaultColWidth="11.08203125" defaultRowHeight="14.5"/>
  <cols>
    <col min="1" max="1" width="2.08203125" style="55" customWidth="1"/>
    <col min="2" max="2" width="3.58203125" style="55" customWidth="1"/>
    <col min="3" max="3" width="61.75" style="55" customWidth="1"/>
    <col min="4" max="4" width="10.25" style="55" customWidth="1"/>
    <col min="5" max="5" width="2.5" style="55" customWidth="1"/>
    <col min="6" max="7" width="27.83203125" style="55" customWidth="1"/>
    <col min="8" max="8" width="3.58203125" style="55" customWidth="1"/>
    <col min="9" max="9" width="2.08203125" style="55" customWidth="1"/>
    <col min="10" max="14" width="11.08203125" style="55"/>
    <col min="15" max="15" width="36.58203125" style="55" customWidth="1"/>
    <col min="16" max="16384" width="11.08203125" style="55"/>
  </cols>
  <sheetData>
    <row r="1" spans="1:10">
      <c r="A1" s="401"/>
      <c r="B1" s="401"/>
      <c r="C1" s="401"/>
      <c r="D1" s="401"/>
      <c r="E1" s="402"/>
      <c r="F1" s="401"/>
      <c r="G1" s="401"/>
      <c r="H1" s="402"/>
      <c r="I1" s="401"/>
    </row>
    <row r="2" spans="1:10" ht="33.5">
      <c r="A2" s="401"/>
      <c r="B2" s="358"/>
      <c r="C2" s="68" t="s">
        <v>91</v>
      </c>
      <c r="D2" s="68"/>
      <c r="E2" s="68"/>
      <c r="F2" s="68"/>
      <c r="G2" s="68"/>
      <c r="H2" s="56"/>
      <c r="I2" s="401"/>
    </row>
    <row r="3" spans="1:10" ht="20.5" customHeight="1">
      <c r="A3" s="401"/>
      <c r="B3" s="369"/>
      <c r="C3" s="358" t="s">
        <v>92</v>
      </c>
      <c r="D3" s="358"/>
      <c r="E3" s="57"/>
      <c r="F3" s="56"/>
      <c r="G3" s="56"/>
      <c r="H3" s="57"/>
      <c r="I3" s="401"/>
      <c r="J3" s="996" t="s">
        <v>1886</v>
      </c>
    </row>
    <row r="4" spans="1:10">
      <c r="A4" s="401"/>
      <c r="B4" s="358"/>
      <c r="C4" s="403" t="s">
        <v>93</v>
      </c>
      <c r="D4" s="403"/>
      <c r="E4" s="404"/>
      <c r="F4" s="358"/>
      <c r="G4" s="358"/>
      <c r="H4" s="404"/>
      <c r="I4" s="401"/>
      <c r="J4" s="996" t="s">
        <v>1887</v>
      </c>
    </row>
    <row r="5" spans="1:10" ht="15" thickBot="1">
      <c r="A5" s="401"/>
      <c r="B5" s="358"/>
      <c r="C5" s="358"/>
      <c r="D5" s="358"/>
      <c r="E5" s="358"/>
      <c r="F5" s="358"/>
      <c r="G5" s="358"/>
      <c r="H5" s="358"/>
      <c r="I5" s="401"/>
      <c r="J5" s="996" t="s">
        <v>1888</v>
      </c>
    </row>
    <row r="6" spans="1:10" ht="27.65" customHeight="1" thickBot="1">
      <c r="A6" s="401"/>
      <c r="B6" s="358"/>
      <c r="C6" s="222" t="s">
        <v>94</v>
      </c>
      <c r="D6" s="260"/>
      <c r="E6" s="259"/>
      <c r="F6" s="882" t="s">
        <v>95</v>
      </c>
      <c r="G6" s="260"/>
      <c r="H6" s="358"/>
      <c r="I6" s="401"/>
    </row>
    <row r="7" spans="1:10" ht="16" thickBot="1">
      <c r="A7" s="401"/>
      <c r="B7" s="358"/>
      <c r="C7" s="261"/>
      <c r="D7" s="241"/>
      <c r="E7" s="358"/>
      <c r="F7" s="889" t="str">
        <f>IF(Einmalkosten!D7="","",Einmalkosten!D7)</f>
        <v/>
      </c>
      <c r="G7" s="889"/>
      <c r="H7" s="358"/>
      <c r="I7" s="401"/>
    </row>
    <row r="8" spans="1:10" ht="29.5" thickBot="1">
      <c r="A8" s="401"/>
      <c r="B8" s="358"/>
      <c r="C8" s="406" t="s">
        <v>96</v>
      </c>
      <c r="D8" s="407"/>
      <c r="E8" s="358"/>
      <c r="F8" s="891" t="s">
        <v>1709</v>
      </c>
      <c r="G8" s="890"/>
      <c r="H8" s="358"/>
      <c r="I8" s="401"/>
    </row>
    <row r="9" spans="1:10" ht="29.5" customHeight="1" thickBot="1">
      <c r="A9" s="401"/>
      <c r="B9" s="358"/>
      <c r="C9" s="242" t="s">
        <v>97</v>
      </c>
      <c r="D9" s="243"/>
      <c r="E9" s="64"/>
      <c r="F9" s="64"/>
      <c r="G9" s="64"/>
      <c r="H9" s="358"/>
      <c r="I9" s="401"/>
    </row>
    <row r="10" spans="1:10" ht="14.15" customHeight="1">
      <c r="A10" s="401"/>
      <c r="B10" s="358"/>
      <c r="C10" s="408" t="s">
        <v>98</v>
      </c>
      <c r="D10" s="409">
        <v>0</v>
      </c>
      <c r="E10" s="64"/>
      <c r="F10" s="64"/>
      <c r="G10" s="64"/>
      <c r="H10" s="358"/>
      <c r="I10" s="401"/>
    </row>
    <row r="11" spans="1:10">
      <c r="A11" s="401"/>
      <c r="B11" s="358"/>
      <c r="C11" s="410" t="s">
        <v>99</v>
      </c>
      <c r="D11" s="411">
        <v>0</v>
      </c>
      <c r="E11" s="358"/>
      <c r="F11" s="358"/>
      <c r="G11" s="358"/>
      <c r="H11" s="358"/>
      <c r="I11" s="401"/>
    </row>
    <row r="12" spans="1:10">
      <c r="A12" s="401"/>
      <c r="B12" s="358"/>
      <c r="C12" s="256" t="s">
        <v>100</v>
      </c>
      <c r="D12" s="257">
        <v>0</v>
      </c>
      <c r="E12" s="358"/>
      <c r="F12" s="358"/>
      <c r="G12" s="358"/>
      <c r="H12" s="358"/>
      <c r="I12" s="401"/>
    </row>
    <row r="13" spans="1:10">
      <c r="A13" s="401"/>
      <c r="B13" s="358"/>
      <c r="C13" s="408" t="s">
        <v>101</v>
      </c>
      <c r="D13" s="412">
        <f>D12*D10</f>
        <v>0</v>
      </c>
      <c r="E13" s="358"/>
      <c r="F13" s="358"/>
      <c r="G13" s="358"/>
      <c r="H13" s="358"/>
      <c r="I13" s="401"/>
    </row>
    <row r="14" spans="1:10">
      <c r="A14" s="401"/>
      <c r="B14" s="358"/>
      <c r="C14" s="410" t="s">
        <v>102</v>
      </c>
      <c r="D14" s="413">
        <f>D12*D11</f>
        <v>0</v>
      </c>
      <c r="E14" s="358"/>
      <c r="F14" s="358"/>
      <c r="G14" s="358"/>
      <c r="H14" s="358"/>
      <c r="I14" s="401"/>
    </row>
    <row r="15" spans="1:10">
      <c r="A15" s="401"/>
      <c r="B15" s="358"/>
      <c r="C15" s="408" t="s">
        <v>103</v>
      </c>
      <c r="D15" s="414">
        <v>0</v>
      </c>
      <c r="E15" s="358"/>
      <c r="F15" s="358"/>
      <c r="G15" s="358"/>
      <c r="H15" s="358"/>
      <c r="I15" s="401"/>
    </row>
    <row r="16" spans="1:10">
      <c r="A16" s="401"/>
      <c r="B16" s="358"/>
      <c r="C16" s="410" t="s">
        <v>104</v>
      </c>
      <c r="D16" s="415">
        <v>0</v>
      </c>
      <c r="E16" s="358"/>
      <c r="F16" s="358"/>
      <c r="G16" s="358"/>
      <c r="H16" s="358"/>
      <c r="I16" s="401"/>
    </row>
    <row r="17" spans="1:9" ht="15" thickBot="1">
      <c r="A17" s="401"/>
      <c r="B17" s="358"/>
      <c r="C17" s="416"/>
      <c r="D17" s="358"/>
      <c r="E17" s="358"/>
      <c r="F17" s="358"/>
      <c r="G17" s="358"/>
      <c r="H17" s="358"/>
      <c r="I17" s="401"/>
    </row>
    <row r="18" spans="1:9" ht="29.5" customHeight="1" thickBot="1">
      <c r="A18" s="401"/>
      <c r="B18" s="358"/>
      <c r="C18" s="242" t="s">
        <v>105</v>
      </c>
      <c r="D18" s="243"/>
      <c r="E18" s="358"/>
      <c r="F18" s="358"/>
      <c r="G18" s="358"/>
      <c r="H18" s="358"/>
      <c r="I18" s="401"/>
    </row>
    <row r="19" spans="1:9" ht="29.5" thickBot="1">
      <c r="A19" s="401"/>
      <c r="B19" s="358"/>
      <c r="C19" s="63" t="s">
        <v>106</v>
      </c>
      <c r="D19" s="358"/>
      <c r="E19" s="358"/>
      <c r="F19" s="884" t="s">
        <v>1800</v>
      </c>
      <c r="G19" s="885"/>
      <c r="H19" s="358"/>
      <c r="I19" s="401"/>
    </row>
    <row r="20" spans="1:9" ht="44" thickBot="1">
      <c r="A20" s="401"/>
      <c r="B20" s="358"/>
      <c r="C20" s="416" t="s">
        <v>107</v>
      </c>
      <c r="D20" s="262">
        <f>D13</f>
        <v>0</v>
      </c>
      <c r="E20" s="417"/>
      <c r="F20" s="894"/>
      <c r="G20" s="893" t="s">
        <v>1316</v>
      </c>
      <c r="H20" s="358"/>
      <c r="I20" s="401"/>
    </row>
    <row r="21" spans="1:9" ht="15" thickBot="1">
      <c r="A21" s="401"/>
      <c r="B21" s="358"/>
      <c r="C21" s="416"/>
      <c r="D21" s="358"/>
      <c r="E21" s="358"/>
      <c r="F21" s="358"/>
      <c r="G21" s="358"/>
      <c r="H21" s="358"/>
      <c r="I21" s="401"/>
    </row>
    <row r="22" spans="1:9" ht="29.15" customHeight="1" thickBot="1">
      <c r="A22" s="401"/>
      <c r="B22" s="358"/>
      <c r="C22" s="242" t="s">
        <v>108</v>
      </c>
      <c r="D22" s="243"/>
      <c r="E22" s="404"/>
      <c r="F22" s="884" t="s">
        <v>1801</v>
      </c>
      <c r="G22" s="885"/>
      <c r="H22" s="358"/>
      <c r="I22" s="401"/>
    </row>
    <row r="23" spans="1:9" ht="22">
      <c r="A23" s="401"/>
      <c r="B23" s="358"/>
      <c r="C23" s="416" t="s">
        <v>109</v>
      </c>
      <c r="D23" s="710">
        <f>'Punktevergabe Details'!C26</f>
        <v>0</v>
      </c>
      <c r="E23" s="358"/>
      <c r="F23" s="895">
        <f>'Punktevergabe Details'!G26</f>
        <v>0</v>
      </c>
      <c r="G23" s="892" t="s">
        <v>1803</v>
      </c>
      <c r="H23" s="358"/>
      <c r="I23" s="401"/>
    </row>
    <row r="24" spans="1:9" ht="22.5" thickBot="1">
      <c r="A24" s="401"/>
      <c r="B24" s="358"/>
      <c r="C24" s="419" t="s">
        <v>110</v>
      </c>
      <c r="D24" s="418">
        <f>'Punktevergabe Details'!C33</f>
        <v>0</v>
      </c>
      <c r="E24" s="358"/>
      <c r="F24" s="896">
        <f>'Punktevergabe Details'!G33</f>
        <v>0</v>
      </c>
      <c r="G24" s="221" t="s">
        <v>1803</v>
      </c>
      <c r="H24" s="358"/>
      <c r="I24" s="401"/>
    </row>
    <row r="25" spans="1:9" ht="44" customHeight="1" thickBot="1">
      <c r="A25" s="401"/>
      <c r="B25" s="358"/>
      <c r="C25" s="63" t="s">
        <v>111</v>
      </c>
      <c r="D25" s="420">
        <f>SUM(D23:D24)</f>
        <v>0</v>
      </c>
      <c r="E25" s="358"/>
      <c r="F25" s="897">
        <f>SUM(F23:F24)</f>
        <v>0</v>
      </c>
      <c r="G25" s="886"/>
      <c r="H25" s="358"/>
      <c r="I25" s="401"/>
    </row>
    <row r="26" spans="1:9" ht="15" thickBot="1">
      <c r="A26" s="401"/>
      <c r="B26" s="358"/>
      <c r="C26" s="416"/>
      <c r="D26" s="358"/>
      <c r="E26" s="358"/>
      <c r="F26" s="358"/>
      <c r="G26" s="358"/>
      <c r="H26" s="358"/>
      <c r="I26" s="401"/>
    </row>
    <row r="27" spans="1:9" ht="44" thickBot="1">
      <c r="A27" s="401"/>
      <c r="B27" s="358"/>
      <c r="C27" s="416"/>
      <c r="D27" s="358"/>
      <c r="E27" s="358"/>
      <c r="F27" s="884" t="s">
        <v>1802</v>
      </c>
      <c r="G27" s="885"/>
      <c r="H27" s="358"/>
      <c r="I27" s="401"/>
    </row>
    <row r="28" spans="1:9" ht="15" thickBot="1">
      <c r="A28" s="401"/>
      <c r="B28" s="358"/>
      <c r="C28" s="408"/>
      <c r="D28" s="358"/>
      <c r="E28" s="358"/>
      <c r="F28" s="898">
        <f>SUM(E20,F25)</f>
        <v>0</v>
      </c>
      <c r="G28" s="883"/>
      <c r="H28" s="358"/>
      <c r="I28" s="401"/>
    </row>
    <row r="29" spans="1:9">
      <c r="A29" s="401"/>
      <c r="B29" s="358"/>
      <c r="C29" s="416"/>
      <c r="D29" s="358"/>
      <c r="E29" s="358"/>
      <c r="F29" s="358"/>
      <c r="G29" s="358"/>
      <c r="H29" s="358"/>
      <c r="I29" s="401"/>
    </row>
    <row r="30" spans="1:9" ht="15" thickBot="1">
      <c r="A30" s="401"/>
      <c r="B30" s="358"/>
      <c r="C30" s="416"/>
      <c r="D30" s="358"/>
      <c r="E30" s="358"/>
      <c r="F30" s="358"/>
      <c r="G30" s="358"/>
      <c r="H30" s="358"/>
      <c r="I30" s="401"/>
    </row>
    <row r="31" spans="1:9" ht="87.5" thickBot="1">
      <c r="A31" s="401"/>
      <c r="B31" s="358"/>
      <c r="C31" s="913" t="s">
        <v>1809</v>
      </c>
      <c r="D31" s="358"/>
      <c r="E31" s="358"/>
      <c r="F31" s="905" t="s">
        <v>1808</v>
      </c>
      <c r="G31" s="906" t="s">
        <v>1807</v>
      </c>
      <c r="H31" s="358"/>
      <c r="I31" s="401"/>
    </row>
    <row r="32" spans="1:9" ht="15" thickBot="1">
      <c r="A32" s="401"/>
      <c r="B32" s="358"/>
      <c r="C32" s="245"/>
      <c r="D32" s="887" t="s">
        <v>112</v>
      </c>
      <c r="E32" s="358"/>
      <c r="F32" s="405" t="str">
        <f>$F$7</f>
        <v/>
      </c>
      <c r="G32" s="405" t="str">
        <f>$F$7</f>
        <v/>
      </c>
      <c r="H32" s="358"/>
      <c r="I32" s="401"/>
    </row>
    <row r="33" spans="1:9">
      <c r="A33" s="401"/>
      <c r="B33" s="358"/>
      <c r="C33" s="358"/>
      <c r="D33" s="888" t="s">
        <v>113</v>
      </c>
      <c r="E33" s="880"/>
      <c r="F33" s="881">
        <f>$F$20</f>
        <v>0</v>
      </c>
      <c r="G33" s="881">
        <f>$F$20</f>
        <v>0</v>
      </c>
      <c r="H33" s="358"/>
      <c r="I33" s="401"/>
    </row>
    <row r="34" spans="1:9">
      <c r="A34" s="401"/>
      <c r="B34" s="358"/>
      <c r="C34" s="358"/>
      <c r="D34" s="888" t="s">
        <v>114</v>
      </c>
      <c r="E34" s="880"/>
      <c r="F34" s="881">
        <f>$F$25</f>
        <v>0</v>
      </c>
      <c r="G34" s="881">
        <f>$F$25</f>
        <v>0</v>
      </c>
      <c r="H34" s="358"/>
      <c r="I34" s="401"/>
    </row>
    <row r="35" spans="1:9" ht="15" thickBot="1">
      <c r="A35" s="401"/>
      <c r="B35" s="358"/>
      <c r="C35" s="494"/>
      <c r="D35" s="900" t="s">
        <v>115</v>
      </c>
      <c r="E35" s="72"/>
      <c r="F35" s="899">
        <f>$F$28</f>
        <v>0</v>
      </c>
      <c r="G35" s="899">
        <f>$F$28</f>
        <v>0</v>
      </c>
      <c r="H35" s="358"/>
      <c r="I35" s="401"/>
    </row>
    <row r="36" spans="1:9" ht="15" thickBot="1">
      <c r="A36" s="401"/>
      <c r="B36" s="358"/>
      <c r="C36" s="901"/>
      <c r="D36" s="902" t="s">
        <v>116</v>
      </c>
      <c r="E36" s="358"/>
      <c r="F36" s="907">
        <f>'Ergebnis LCC inkl. CO2-Kosten'!$L$6</f>
        <v>186640</v>
      </c>
      <c r="G36" s="907">
        <f>'Ergebnis LCC ohne CO2-Kosten'!$L$6</f>
        <v>186640</v>
      </c>
      <c r="H36" s="358"/>
      <c r="I36" s="401"/>
    </row>
    <row r="37" spans="1:9" ht="15" thickBot="1">
      <c r="A37" s="401"/>
      <c r="B37" s="358"/>
      <c r="C37" s="901"/>
      <c r="D37" s="902" t="s">
        <v>1883</v>
      </c>
      <c r="E37" s="358"/>
      <c r="F37" s="981">
        <v>3000</v>
      </c>
      <c r="G37" s="981">
        <v>2000</v>
      </c>
      <c r="H37" s="358"/>
      <c r="I37" s="401"/>
    </row>
    <row r="38" spans="1:9">
      <c r="A38" s="401"/>
      <c r="B38" s="358"/>
      <c r="C38" s="358"/>
      <c r="D38" s="869" t="s">
        <v>1804</v>
      </c>
      <c r="E38" s="358"/>
      <c r="F38" s="909">
        <f>SUM('Ergebnis LCC inkl. CO2-Kosten'!$E$18,'Ergebnis LCC inkl. CO2-Kosten'!$L$18,'Ergebnis LCC inkl. CO2-Kosten'!$E$28)</f>
        <v>248206.498096</v>
      </c>
      <c r="G38" s="909">
        <f>'Ergebnis LCC ohne CO2-Kosten'!$L$9</f>
        <v>248206.498096</v>
      </c>
      <c r="H38" s="358"/>
      <c r="I38" s="401"/>
    </row>
    <row r="39" spans="1:9" ht="16.5">
      <c r="A39" s="401"/>
      <c r="B39" s="358"/>
      <c r="C39" s="376"/>
      <c r="D39" s="904" t="s">
        <v>1805</v>
      </c>
      <c r="E39" s="258"/>
      <c r="F39" s="910">
        <f>'Ergebnis LCC inkl. CO2-Kosten'!$N$31</f>
        <v>31249.534051772396</v>
      </c>
      <c r="G39" s="910">
        <f>'Ergebnis LCC ohne CO2-Kosten'!$N$31</f>
        <v>31249.534051772396</v>
      </c>
      <c r="H39" s="358"/>
      <c r="I39" s="401"/>
    </row>
    <row r="40" spans="1:9" ht="17" thickBot="1">
      <c r="A40" s="401"/>
      <c r="B40" s="358"/>
      <c r="C40" s="494"/>
      <c r="D40" s="903" t="s">
        <v>1806</v>
      </c>
      <c r="E40" s="404"/>
      <c r="F40" s="911">
        <f>'Ergebnis LCC inkl. CO2-Kosten'!$L$9</f>
        <v>279456.03214777238</v>
      </c>
      <c r="G40" s="911">
        <f>'Ergebnis LCC ohne CO2-Kosten'!$L$9+'Ergebnis LCC ohne CO2-Kosten'!$L$10</f>
        <v>279456.03214777238</v>
      </c>
      <c r="H40" s="358"/>
      <c r="I40" s="401"/>
    </row>
    <row r="41" spans="1:9">
      <c r="A41" s="401"/>
      <c r="B41" s="358"/>
      <c r="C41" s="358"/>
      <c r="D41" s="887" t="s">
        <v>117</v>
      </c>
      <c r="E41" s="358"/>
      <c r="F41" s="908">
        <f>IFERROR('Laufende Kosten'!$H$11/Nutzung!$C$8,0)</f>
        <v>10.356498096000003</v>
      </c>
      <c r="G41" s="908">
        <f>IFERROR('Laufende Kosten'!$H$11/Nutzung!$C$8,0)</f>
        <v>10.356498096000003</v>
      </c>
      <c r="H41" s="358"/>
      <c r="I41" s="401"/>
    </row>
    <row r="42" spans="1:9" ht="15" thickBot="1">
      <c r="A42" s="401"/>
      <c r="B42" s="358"/>
      <c r="C42" s="358"/>
      <c r="D42" s="888" t="s">
        <v>118</v>
      </c>
      <c r="E42" s="358"/>
      <c r="F42" s="912">
        <f>IFERROR(SUM('Laufende Kosten'!$H$62,'Laufende Kosten'!$H$47)/Nutzung!$C$8,0)</f>
        <v>51.209999999999994</v>
      </c>
      <c r="G42" s="912">
        <f>IFERROR(SUM('Laufende Kosten'!$H$62,'Laufende Kosten'!$H$47)/Nutzung!$C$8,0)</f>
        <v>51.209999999999994</v>
      </c>
      <c r="H42" s="358"/>
      <c r="I42" s="401"/>
    </row>
    <row r="43" spans="1:9">
      <c r="A43" s="401"/>
      <c r="B43" s="358"/>
      <c r="C43" s="65"/>
      <c r="D43" s="66"/>
      <c r="E43" s="65"/>
      <c r="F43" s="67"/>
      <c r="G43" s="67"/>
      <c r="H43" s="358"/>
      <c r="I43" s="401"/>
    </row>
    <row r="44" spans="1:9">
      <c r="A44" s="401"/>
      <c r="B44" s="401"/>
      <c r="C44" s="401"/>
      <c r="D44" s="401"/>
      <c r="E44" s="401"/>
      <c r="F44" s="401"/>
      <c r="G44" s="401"/>
      <c r="H44" s="401"/>
      <c r="I44" s="401"/>
    </row>
  </sheetData>
  <conditionalFormatting sqref="F7:G8">
    <cfRule type="cellIs" dxfId="130" priority="5" operator="equal">
      <formula>"Nein"</formula>
    </cfRule>
    <cfRule type="cellIs" dxfId="129" priority="6" operator="equal">
      <formula>"Ja"</formula>
    </cfRule>
  </conditionalFormatting>
  <conditionalFormatting sqref="D8">
    <cfRule type="cellIs" dxfId="128" priority="1" operator="equal">
      <formula>"Nein"</formula>
    </cfRule>
    <cfRule type="cellIs" dxfId="127" priority="2" operator="equal">
      <formula>"Ja"</formula>
    </cfRule>
  </conditionalFormatting>
  <dataValidations count="1">
    <dataValidation type="list" allowBlank="1" showInputMessage="1" showErrorMessage="1" sqref="F8:G8 D8" xr:uid="{A4646F68-D5BB-46ED-B50E-1D3E32661C9F}">
      <formula1>"Ja,Nein"</formula1>
    </dataValidation>
  </dataValidations>
  <hyperlinks>
    <hyperlink ref="J3" location="'Aufbau LCC-CO2-Tool'!A1" display="zurück zur Übersicht" xr:uid="{FD2E7F5C-4B1E-4068-A993-655AFB054091}"/>
    <hyperlink ref="J4" location="'Anleitung für Beschaffende'!A13" display="zurück zur Anleitung für Beschaffende " xr:uid="{E150B7FF-DD16-449C-B9D8-BCDB87CD93ED}"/>
    <hyperlink ref="J5" location="'Anleitung für Bietende'!A22" display="zurück zur Anleitung für Bietende" xr:uid="{76453F71-1AD0-48CC-8CB5-B85A6C22A923}"/>
  </hyperlinks>
  <pageMargins left="0.70866141732283472" right="0.70866141732283472" top="0.78740157480314965" bottom="0.78740157480314965" header="0.31496062992125984" footer="0.31496062992125984"/>
  <pageSetup paperSize="9" scale="57" orientation="portrait" r:id="rId1"/>
  <headerFooter>
    <oddHeader>&amp;C&amp;14&amp;KFF0000TESTVERSION!</oddHeader>
    <oddFooter>&amp;L&amp;8&amp;K000000LCC-CO2-Tool - Arbeitshilfe des Umweltbundesamtes&amp;C&amp;8Punktevergabe Übersicht&amp;R&amp;8&amp;P</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53FCE-3BB1-455D-A5B2-1FD97A1BE9A9}">
  <sheetPr codeName="Tabelle3">
    <tabColor rgb="FFFFD288"/>
    <pageSetUpPr fitToPage="1"/>
  </sheetPr>
  <dimension ref="A1:K35"/>
  <sheetViews>
    <sheetView showGridLines="0" zoomScaleNormal="100" zoomScalePageLayoutView="90" workbookViewId="0"/>
  </sheetViews>
  <sheetFormatPr baseColWidth="10" defaultColWidth="11.08203125" defaultRowHeight="14.5"/>
  <cols>
    <col min="1" max="1" width="2.08203125" style="55" customWidth="1"/>
    <col min="2" max="2" width="3.58203125" style="55" customWidth="1"/>
    <col min="3" max="3" width="14" style="55" customWidth="1"/>
    <col min="4" max="4" width="35.25" style="55" customWidth="1"/>
    <col min="5" max="5" width="3.58203125" style="55" customWidth="1"/>
    <col min="6" max="6" width="20.25" style="55" customWidth="1"/>
    <col min="7" max="7" width="8.5" style="55" customWidth="1"/>
    <col min="8" max="8" width="61" style="55" customWidth="1"/>
    <col min="9" max="9" width="3.58203125" style="55" customWidth="1"/>
    <col min="10" max="10" width="2.08203125" style="55" customWidth="1"/>
    <col min="11" max="15" width="11.08203125" style="55"/>
    <col min="16" max="16" width="36.58203125" style="55" customWidth="1"/>
    <col min="17" max="16384" width="11.08203125" style="55"/>
  </cols>
  <sheetData>
    <row r="1" spans="1:11">
      <c r="A1" s="401"/>
      <c r="B1" s="401"/>
      <c r="C1" s="401"/>
      <c r="D1" s="401"/>
      <c r="E1" s="401"/>
      <c r="F1" s="401"/>
      <c r="G1" s="402"/>
      <c r="H1" s="401"/>
      <c r="I1" s="402"/>
      <c r="J1" s="401"/>
    </row>
    <row r="2" spans="1:11" ht="33.5">
      <c r="A2" s="401"/>
      <c r="B2" s="358"/>
      <c r="C2" s="68" t="s">
        <v>119</v>
      </c>
      <c r="D2" s="68"/>
      <c r="E2" s="68"/>
      <c r="F2" s="68"/>
      <c r="G2" s="68"/>
      <c r="H2" s="68"/>
      <c r="I2" s="56"/>
      <c r="J2" s="401"/>
    </row>
    <row r="3" spans="1:11" ht="23.5" customHeight="1">
      <c r="A3" s="401"/>
      <c r="B3" s="369"/>
      <c r="C3" s="358" t="s">
        <v>92</v>
      </c>
      <c r="D3" s="369"/>
      <c r="E3" s="369"/>
      <c r="F3" s="358"/>
      <c r="G3" s="57"/>
      <c r="H3" s="56"/>
      <c r="I3" s="57"/>
      <c r="J3" s="401"/>
      <c r="K3" s="996" t="s">
        <v>1886</v>
      </c>
    </row>
    <row r="4" spans="1:11">
      <c r="A4" s="401"/>
      <c r="B4" s="358"/>
      <c r="C4" s="403" t="s">
        <v>93</v>
      </c>
      <c r="D4" s="403"/>
      <c r="E4" s="403"/>
      <c r="F4" s="421"/>
      <c r="G4" s="358"/>
      <c r="H4" s="422"/>
      <c r="I4" s="404"/>
      <c r="J4" s="401"/>
      <c r="K4" s="996" t="s">
        <v>1887</v>
      </c>
    </row>
    <row r="5" spans="1:11">
      <c r="A5" s="401"/>
      <c r="B5" s="358"/>
      <c r="C5" s="370" t="s">
        <v>120</v>
      </c>
      <c r="D5" s="370"/>
      <c r="E5" s="370"/>
      <c r="F5" s="423"/>
      <c r="G5" s="358"/>
      <c r="H5" s="358"/>
      <c r="I5" s="404"/>
      <c r="J5" s="401"/>
      <c r="K5" s="996" t="s">
        <v>1888</v>
      </c>
    </row>
    <row r="6" spans="1:11" ht="15" thickBot="1">
      <c r="A6" s="401"/>
      <c r="B6" s="358"/>
      <c r="C6" s="358"/>
      <c r="D6" s="358"/>
      <c r="E6" s="358"/>
      <c r="F6" s="358"/>
      <c r="G6" s="358"/>
      <c r="H6" s="358"/>
      <c r="I6" s="358"/>
      <c r="J6" s="401"/>
    </row>
    <row r="7" spans="1:11" ht="34" customHeight="1" thickBot="1">
      <c r="A7" s="401"/>
      <c r="B7" s="358"/>
      <c r="C7" s="275" t="s">
        <v>121</v>
      </c>
      <c r="D7" s="274"/>
      <c r="E7" s="63"/>
      <c r="F7" s="276" t="s">
        <v>95</v>
      </c>
      <c r="G7" s="424"/>
      <c r="H7" s="425"/>
      <c r="I7" s="358"/>
      <c r="J7" s="401"/>
    </row>
    <row r="8" spans="1:11" ht="34" customHeight="1" thickBot="1">
      <c r="A8" s="401"/>
      <c r="B8" s="358"/>
      <c r="C8" s="277"/>
      <c r="D8" s="269"/>
      <c r="E8" s="63"/>
      <c r="F8" s="426"/>
      <c r="G8" s="707" t="s">
        <v>1705</v>
      </c>
      <c r="H8" s="708" t="str">
        <f>IF(Einmalkosten!D7="","",Einmalkosten!D7)</f>
        <v/>
      </c>
      <c r="I8" s="358"/>
      <c r="J8" s="401"/>
    </row>
    <row r="9" spans="1:11" ht="23.15" customHeight="1" thickBot="1">
      <c r="A9" s="401"/>
      <c r="B9" s="358"/>
      <c r="C9" s="278" t="s">
        <v>122</v>
      </c>
      <c r="D9" s="264"/>
      <c r="E9" s="90"/>
      <c r="F9" s="278" t="s">
        <v>122</v>
      </c>
      <c r="G9" s="265"/>
      <c r="H9" s="266"/>
      <c r="I9" s="358"/>
      <c r="J9" s="401"/>
    </row>
    <row r="10" spans="1:11" ht="29.5" thickBot="1">
      <c r="A10" s="401"/>
      <c r="B10" s="358"/>
      <c r="C10" s="281" t="s">
        <v>123</v>
      </c>
      <c r="D10" s="279" t="s">
        <v>122</v>
      </c>
      <c r="E10" s="268"/>
      <c r="F10" s="286" t="s">
        <v>124</v>
      </c>
      <c r="G10" s="358"/>
      <c r="H10" s="244" t="s">
        <v>125</v>
      </c>
      <c r="I10" s="358"/>
      <c r="J10" s="401"/>
    </row>
    <row r="11" spans="1:11">
      <c r="A11" s="401"/>
      <c r="B11" s="358"/>
      <c r="C11" s="59" t="s">
        <v>126</v>
      </c>
      <c r="D11" s="427" t="s">
        <v>127</v>
      </c>
      <c r="E11" s="428"/>
      <c r="F11" s="429" t="s">
        <v>128</v>
      </c>
      <c r="G11" s="430"/>
      <c r="H11" s="431"/>
      <c r="I11" s="358"/>
      <c r="J11" s="401"/>
    </row>
    <row r="12" spans="1:11">
      <c r="A12" s="401"/>
      <c r="B12" s="358"/>
      <c r="C12" s="60" t="s">
        <v>126</v>
      </c>
      <c r="D12" s="432" t="s">
        <v>129</v>
      </c>
      <c r="E12" s="428"/>
      <c r="F12" s="433" t="s">
        <v>128</v>
      </c>
      <c r="G12" s="434"/>
      <c r="H12" s="435"/>
      <c r="I12" s="358"/>
      <c r="J12" s="401"/>
    </row>
    <row r="13" spans="1:11">
      <c r="A13" s="401"/>
      <c r="B13" s="358"/>
      <c r="C13" s="60" t="s">
        <v>126</v>
      </c>
      <c r="D13" s="432" t="s">
        <v>130</v>
      </c>
      <c r="E13" s="428"/>
      <c r="F13" s="433" t="s">
        <v>128</v>
      </c>
      <c r="G13" s="436"/>
      <c r="H13" s="437"/>
      <c r="I13" s="358"/>
      <c r="J13" s="401"/>
    </row>
    <row r="14" spans="1:11" ht="15" thickBot="1">
      <c r="A14" s="401"/>
      <c r="B14" s="358"/>
      <c r="C14" s="61" t="s">
        <v>126</v>
      </c>
      <c r="D14" s="438" t="s">
        <v>131</v>
      </c>
      <c r="E14" s="428"/>
      <c r="F14" s="439" t="s">
        <v>128</v>
      </c>
      <c r="G14" s="440"/>
      <c r="H14" s="441"/>
      <c r="I14" s="358"/>
      <c r="J14" s="401"/>
    </row>
    <row r="15" spans="1:11" ht="15" thickBot="1">
      <c r="A15" s="401"/>
      <c r="B15" s="358"/>
      <c r="C15" s="267"/>
      <c r="D15" s="442"/>
      <c r="E15" s="419"/>
      <c r="F15" s="443"/>
      <c r="G15" s="444"/>
      <c r="H15" s="444"/>
      <c r="I15" s="358"/>
      <c r="J15" s="401"/>
    </row>
    <row r="16" spans="1:11" ht="22.5" customHeight="1" thickBot="1">
      <c r="A16" s="401"/>
      <c r="B16" s="358"/>
      <c r="C16" s="278" t="s">
        <v>132</v>
      </c>
      <c r="D16" s="263"/>
      <c r="E16" s="90"/>
      <c r="F16" s="278" t="s">
        <v>133</v>
      </c>
      <c r="G16" s="263"/>
      <c r="H16" s="264"/>
      <c r="I16" s="358"/>
      <c r="J16" s="401"/>
    </row>
    <row r="17" spans="1:10" ht="29.5" thickBot="1">
      <c r="A17" s="401"/>
      <c r="B17" s="358"/>
      <c r="C17" s="280" t="s">
        <v>123</v>
      </c>
      <c r="D17" s="282" t="s">
        <v>134</v>
      </c>
      <c r="E17" s="272"/>
      <c r="F17" s="216" t="s">
        <v>135</v>
      </c>
      <c r="G17" s="281" t="s">
        <v>136</v>
      </c>
      <c r="H17" s="244" t="s">
        <v>125</v>
      </c>
      <c r="I17" s="358"/>
      <c r="J17" s="401"/>
    </row>
    <row r="18" spans="1:10">
      <c r="A18" s="401"/>
      <c r="B18" s="358"/>
      <c r="C18" s="445">
        <v>0</v>
      </c>
      <c r="D18" s="446" t="s">
        <v>137</v>
      </c>
      <c r="E18" s="447"/>
      <c r="F18" s="448"/>
      <c r="G18" s="449">
        <f>C18*F18</f>
        <v>0</v>
      </c>
      <c r="H18" s="450"/>
      <c r="I18" s="358"/>
      <c r="J18" s="401"/>
    </row>
    <row r="19" spans="1:10">
      <c r="A19" s="401"/>
      <c r="B19" s="358"/>
      <c r="C19" s="451">
        <v>0</v>
      </c>
      <c r="D19" s="452" t="s">
        <v>138</v>
      </c>
      <c r="E19" s="447"/>
      <c r="F19" s="453"/>
      <c r="G19" s="454">
        <f t="shared" ref="G19:G25" si="0">C19*F19</f>
        <v>0</v>
      </c>
      <c r="H19" s="455"/>
      <c r="I19" s="358"/>
      <c r="J19" s="401"/>
    </row>
    <row r="20" spans="1:10">
      <c r="A20" s="401"/>
      <c r="B20" s="358"/>
      <c r="C20" s="451">
        <v>0</v>
      </c>
      <c r="D20" s="452" t="s">
        <v>139</v>
      </c>
      <c r="E20" s="447"/>
      <c r="F20" s="453"/>
      <c r="G20" s="454">
        <f t="shared" si="0"/>
        <v>0</v>
      </c>
      <c r="H20" s="455"/>
      <c r="I20" s="358"/>
      <c r="J20" s="401"/>
    </row>
    <row r="21" spans="1:10">
      <c r="A21" s="401"/>
      <c r="B21" s="358"/>
      <c r="C21" s="451">
        <v>0</v>
      </c>
      <c r="D21" s="452" t="s">
        <v>140</v>
      </c>
      <c r="E21" s="447"/>
      <c r="F21" s="453"/>
      <c r="G21" s="454">
        <f t="shared" si="0"/>
        <v>0</v>
      </c>
      <c r="H21" s="455"/>
      <c r="I21" s="358"/>
      <c r="J21" s="401"/>
    </row>
    <row r="22" spans="1:10">
      <c r="A22" s="401"/>
      <c r="B22" s="358"/>
      <c r="C22" s="451">
        <v>0</v>
      </c>
      <c r="D22" s="452" t="s">
        <v>141</v>
      </c>
      <c r="E22" s="447"/>
      <c r="F22" s="453"/>
      <c r="G22" s="454">
        <f t="shared" si="0"/>
        <v>0</v>
      </c>
      <c r="H22" s="455"/>
      <c r="I22" s="358"/>
      <c r="J22" s="401"/>
    </row>
    <row r="23" spans="1:10">
      <c r="A23" s="401"/>
      <c r="B23" s="358"/>
      <c r="C23" s="451">
        <v>0</v>
      </c>
      <c r="D23" s="452" t="s">
        <v>142</v>
      </c>
      <c r="E23" s="447"/>
      <c r="F23" s="453"/>
      <c r="G23" s="454">
        <f t="shared" si="0"/>
        <v>0</v>
      </c>
      <c r="H23" s="455"/>
      <c r="I23" s="358"/>
      <c r="J23" s="401"/>
    </row>
    <row r="24" spans="1:10">
      <c r="A24" s="401"/>
      <c r="B24" s="358"/>
      <c r="C24" s="451">
        <v>0</v>
      </c>
      <c r="D24" s="452" t="s">
        <v>143</v>
      </c>
      <c r="E24" s="447"/>
      <c r="F24" s="453"/>
      <c r="G24" s="454">
        <f t="shared" si="0"/>
        <v>0</v>
      </c>
      <c r="H24" s="455"/>
      <c r="I24" s="358"/>
      <c r="J24" s="401"/>
    </row>
    <row r="25" spans="1:10" ht="15" thickBot="1">
      <c r="A25" s="401"/>
      <c r="B25" s="358"/>
      <c r="C25" s="456">
        <v>0</v>
      </c>
      <c r="D25" s="457" t="s">
        <v>144</v>
      </c>
      <c r="E25" s="447"/>
      <c r="F25" s="458"/>
      <c r="G25" s="459">
        <f t="shared" si="0"/>
        <v>0</v>
      </c>
      <c r="H25" s="460"/>
      <c r="I25" s="358"/>
      <c r="J25" s="401"/>
    </row>
    <row r="26" spans="1:10" ht="29.5" thickBot="1">
      <c r="A26" s="401"/>
      <c r="B26" s="358"/>
      <c r="C26" s="461">
        <f>'Punktevergabe Übersicht'!D14*'Punktevergabe Übersicht'!D15</f>
        <v>0</v>
      </c>
      <c r="D26" s="282" t="s">
        <v>145</v>
      </c>
      <c r="E26" s="272"/>
      <c r="F26" s="284" t="s">
        <v>146</v>
      </c>
      <c r="G26" s="235">
        <f>SUM(G18:G25)</f>
        <v>0</v>
      </c>
      <c r="H26" s="234"/>
      <c r="I26" s="358"/>
      <c r="J26" s="401"/>
    </row>
    <row r="27" spans="1:10" ht="15" thickBot="1">
      <c r="A27" s="401"/>
      <c r="B27" s="358"/>
      <c r="C27" s="462"/>
      <c r="D27" s="267"/>
      <c r="E27" s="271"/>
      <c r="F27" s="269"/>
      <c r="G27" s="270"/>
      <c r="H27" s="269"/>
      <c r="I27" s="358"/>
      <c r="J27" s="401"/>
    </row>
    <row r="28" spans="1:10" ht="29.5" thickBot="1">
      <c r="A28" s="401"/>
      <c r="B28" s="358"/>
      <c r="C28" s="216" t="s">
        <v>123</v>
      </c>
      <c r="D28" s="283" t="s">
        <v>147</v>
      </c>
      <c r="E28" s="271"/>
      <c r="F28" s="285" t="s">
        <v>135</v>
      </c>
      <c r="G28" s="281" t="s">
        <v>136</v>
      </c>
      <c r="H28" s="273" t="s">
        <v>125</v>
      </c>
      <c r="I28" s="358"/>
      <c r="J28" s="401"/>
    </row>
    <row r="29" spans="1:10" ht="29">
      <c r="A29" s="401"/>
      <c r="B29" s="358"/>
      <c r="C29" s="463">
        <v>0</v>
      </c>
      <c r="D29" s="446" t="s">
        <v>148</v>
      </c>
      <c r="E29" s="416"/>
      <c r="F29" s="464">
        <f>IF(Produktion!$C$11=0,'THG-Emissionen ohne Zertifikat'!G3,'THG-Emissionen mit Zertifikat'!F3)</f>
        <v>0.375</v>
      </c>
      <c r="G29" s="454">
        <f>F29*C29</f>
        <v>0</v>
      </c>
      <c r="H29" s="465" t="s">
        <v>149</v>
      </c>
      <c r="I29" s="358"/>
      <c r="J29" s="401"/>
    </row>
    <row r="30" spans="1:10">
      <c r="A30" s="401"/>
      <c r="B30" s="358"/>
      <c r="C30" s="466">
        <v>0</v>
      </c>
      <c r="D30" s="452" t="s">
        <v>150</v>
      </c>
      <c r="E30" s="416"/>
      <c r="F30" s="467"/>
      <c r="G30" s="454">
        <f>F30*C30</f>
        <v>0</v>
      </c>
      <c r="H30" s="468"/>
      <c r="I30" s="358"/>
      <c r="J30" s="401"/>
    </row>
    <row r="31" spans="1:10">
      <c r="A31" s="401"/>
      <c r="B31" s="358"/>
      <c r="C31" s="466">
        <v>0</v>
      </c>
      <c r="D31" s="452" t="s">
        <v>151</v>
      </c>
      <c r="E31" s="416"/>
      <c r="F31" s="467"/>
      <c r="G31" s="454">
        <f t="shared" ref="G31:G32" si="1">F31*C31</f>
        <v>0</v>
      </c>
      <c r="H31" s="468"/>
      <c r="I31" s="358"/>
      <c r="J31" s="401"/>
    </row>
    <row r="32" spans="1:10" ht="14.5" customHeight="1" thickBot="1">
      <c r="A32" s="401"/>
      <c r="B32" s="358"/>
      <c r="C32" s="469">
        <v>0</v>
      </c>
      <c r="D32" s="457" t="s">
        <v>152</v>
      </c>
      <c r="E32" s="416"/>
      <c r="F32" s="470"/>
      <c r="G32" s="454">
        <f t="shared" si="1"/>
        <v>0</v>
      </c>
      <c r="H32" s="468"/>
      <c r="I32" s="358"/>
      <c r="J32" s="401"/>
    </row>
    <row r="33" spans="1:10" ht="29.5" thickBot="1">
      <c r="A33" s="401"/>
      <c r="B33" s="358"/>
      <c r="C33" s="461">
        <f>'Punktevergabe Übersicht'!D14*'Punktevergabe Übersicht'!D16</f>
        <v>0</v>
      </c>
      <c r="D33" s="282" t="s">
        <v>153</v>
      </c>
      <c r="E33" s="272"/>
      <c r="F33" s="284" t="s">
        <v>154</v>
      </c>
      <c r="G33" s="236">
        <f>SUM(G29:G32)</f>
        <v>0</v>
      </c>
      <c r="H33" s="234"/>
      <c r="I33" s="358"/>
      <c r="J33" s="401"/>
    </row>
    <row r="34" spans="1:10">
      <c r="A34" s="401"/>
      <c r="B34" s="358"/>
      <c r="C34" s="358"/>
      <c r="D34" s="358"/>
      <c r="E34" s="358"/>
      <c r="F34" s="358"/>
      <c r="G34" s="358"/>
      <c r="H34" s="358"/>
      <c r="I34" s="358"/>
      <c r="J34" s="401"/>
    </row>
    <row r="35" spans="1:10">
      <c r="A35" s="401"/>
      <c r="B35" s="401"/>
      <c r="C35" s="401"/>
      <c r="D35" s="401"/>
      <c r="E35" s="401"/>
      <c r="F35" s="401"/>
      <c r="G35" s="401"/>
      <c r="H35" s="401"/>
      <c r="I35" s="401"/>
      <c r="J35" s="401"/>
    </row>
  </sheetData>
  <phoneticPr fontId="34" type="noConversion"/>
  <conditionalFormatting sqref="F11:F15 F7:G7 F8:H8">
    <cfRule type="cellIs" dxfId="126" priority="3" operator="equal">
      <formula>"Nein"</formula>
    </cfRule>
    <cfRule type="cellIs" dxfId="125" priority="4" operator="equal">
      <formula>"Ja"</formula>
    </cfRule>
  </conditionalFormatting>
  <dataValidations disablePrompts="1" count="1">
    <dataValidation type="list" allowBlank="1" showInputMessage="1" showErrorMessage="1" sqref="F11:F15" xr:uid="{32964096-1785-4D53-BF85-9766E68657BB}">
      <formula1>"[Bitte auswählen],Ja,Nein"</formula1>
    </dataValidation>
  </dataValidations>
  <hyperlinks>
    <hyperlink ref="K3" location="'Aufbau LCC-CO2-Tool'!A1" display="zurück zur Übersicht" xr:uid="{4679D614-9434-4BB5-8F94-42C3802EFAA9}"/>
    <hyperlink ref="K4" location="'Anleitung für Beschaffende'!A13" display="zurück zur Anleitung für Beschaffende " xr:uid="{D020F3DF-0DF4-4ADF-9EFE-8BC355FB1796}"/>
    <hyperlink ref="K5" location="'Anleitung für Bietende'!A22" display="zurück zur Anleitung für Bietende" xr:uid="{2EFB2E73-A539-4CD1-BCA9-5D97B56E8279}"/>
  </hyperlinks>
  <pageMargins left="0.70866141732283472" right="0.70866141732283472" top="0.78740157480314965" bottom="0.78740157480314965" header="0.31496062992125984" footer="0.31496062992125984"/>
  <pageSetup paperSize="9" scale="72" orientation="landscape" r:id="rId1"/>
  <headerFooter>
    <oddHeader>&amp;C&amp;14&amp;KFF0000TESTVERSION!</oddHeader>
    <oddFooter>&amp;L&amp;8&amp;K000000LCC-CO2-Tool - Arbeitshilfe des Umweltbundesamtes&amp;C&amp;8Punktevergabe Details&amp;R&amp;8&amp;P</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88DEFF"/>
    <pageSetUpPr fitToPage="1"/>
  </sheetPr>
  <dimension ref="A1:L35"/>
  <sheetViews>
    <sheetView showGridLines="0" topLeftCell="B3" zoomScaleNormal="100" workbookViewId="0">
      <selection activeCell="C11" sqref="C11:G32"/>
    </sheetView>
  </sheetViews>
  <sheetFormatPr baseColWidth="10" defaultColWidth="11.08203125" defaultRowHeight="14.5"/>
  <cols>
    <col min="1" max="1" width="2.08203125" style="55" customWidth="1"/>
    <col min="2" max="2" width="3.58203125" style="55" customWidth="1"/>
    <col min="3" max="3" width="28.5" style="55" customWidth="1"/>
    <col min="4" max="4" width="31.33203125" style="55" customWidth="1"/>
    <col min="5" max="6" width="20" style="55" customWidth="1"/>
    <col min="7" max="7" width="15.4140625" style="55" customWidth="1"/>
    <col min="8" max="8" width="3.58203125" style="55" customWidth="1"/>
    <col min="9" max="9" width="2.08203125" style="55" customWidth="1"/>
    <col min="10" max="14" width="11.08203125" style="55"/>
    <col min="15" max="15" width="36.58203125" style="55" customWidth="1"/>
    <col min="16" max="16384" width="11.08203125" style="55"/>
  </cols>
  <sheetData>
    <row r="1" spans="1:12">
      <c r="A1" s="471"/>
      <c r="B1" s="471"/>
      <c r="C1" s="471"/>
      <c r="D1" s="472"/>
      <c r="E1" s="472"/>
      <c r="F1" s="472"/>
      <c r="G1" s="471"/>
      <c r="H1" s="472"/>
      <c r="I1" s="471"/>
      <c r="J1" s="358"/>
      <c r="K1" s="358"/>
      <c r="L1" s="358"/>
    </row>
    <row r="2" spans="1:12" ht="33.5">
      <c r="A2" s="471"/>
      <c r="B2" s="72"/>
      <c r="C2" s="68" t="s">
        <v>155</v>
      </c>
      <c r="D2" s="358"/>
      <c r="E2" s="358"/>
      <c r="F2" s="358"/>
      <c r="G2" s="68"/>
      <c r="H2" s="56"/>
      <c r="I2" s="471"/>
      <c r="J2" s="358"/>
      <c r="K2" s="358"/>
      <c r="L2" s="358"/>
    </row>
    <row r="3" spans="1:12" ht="33.5">
      <c r="A3" s="471"/>
      <c r="B3" s="369"/>
      <c r="C3" s="358" t="s">
        <v>92</v>
      </c>
      <c r="D3" s="57"/>
      <c r="E3" s="57"/>
      <c r="F3" s="57"/>
      <c r="G3" s="56"/>
      <c r="H3" s="57"/>
      <c r="I3" s="471"/>
      <c r="K3" s="358"/>
      <c r="L3" s="358"/>
    </row>
    <row r="4" spans="1:12">
      <c r="A4" s="471"/>
      <c r="B4" s="358"/>
      <c r="C4" s="403" t="s">
        <v>44</v>
      </c>
      <c r="D4" s="358"/>
      <c r="E4" s="358"/>
      <c r="F4" s="358"/>
      <c r="G4" s="1001" t="s">
        <v>1886</v>
      </c>
      <c r="H4" s="404"/>
      <c r="I4" s="471"/>
      <c r="K4" s="358"/>
      <c r="L4" s="358"/>
    </row>
    <row r="5" spans="1:12">
      <c r="A5" s="471"/>
      <c r="B5" s="358"/>
      <c r="C5" s="370" t="s">
        <v>120</v>
      </c>
      <c r="D5" s="358"/>
      <c r="E5" s="358"/>
      <c r="F5" s="358"/>
      <c r="G5" s="1001" t="s">
        <v>1887</v>
      </c>
      <c r="H5" s="404"/>
      <c r="I5" s="471"/>
      <c r="K5" s="358"/>
      <c r="L5" s="358"/>
    </row>
    <row r="6" spans="1:12" ht="15" thickBot="1">
      <c r="A6" s="471"/>
      <c r="B6" s="358"/>
      <c r="C6" s="358"/>
      <c r="D6" s="358"/>
      <c r="E6" s="358"/>
      <c r="F6" s="358"/>
      <c r="G6" s="1001" t="s">
        <v>1888</v>
      </c>
      <c r="H6" s="358"/>
      <c r="I6" s="471"/>
      <c r="J6" s="358"/>
      <c r="K6" s="358"/>
      <c r="L6" s="358"/>
    </row>
    <row r="7" spans="1:12" ht="16" thickBot="1">
      <c r="A7" s="471"/>
      <c r="B7" s="358"/>
      <c r="C7" s="711" t="s">
        <v>1864</v>
      </c>
      <c r="D7" s="712"/>
      <c r="F7" s="358"/>
      <c r="G7" s="358"/>
      <c r="H7" s="358"/>
      <c r="I7" s="471"/>
      <c r="J7" s="358"/>
      <c r="K7" s="358"/>
      <c r="L7" s="358"/>
    </row>
    <row r="8" spans="1:12">
      <c r="A8" s="471"/>
      <c r="B8" s="358"/>
      <c r="C8" s="358"/>
      <c r="D8" s="590"/>
      <c r="E8" s="704"/>
      <c r="F8" s="358"/>
      <c r="G8" s="358"/>
      <c r="H8" s="358"/>
      <c r="I8" s="471"/>
      <c r="J8" s="358"/>
      <c r="K8" s="358"/>
      <c r="L8" s="358"/>
    </row>
    <row r="9" spans="1:12">
      <c r="A9" s="471"/>
      <c r="B9" s="358"/>
      <c r="D9" s="473"/>
      <c r="E9" s="701" t="s">
        <v>1707</v>
      </c>
      <c r="F9" s="590"/>
      <c r="G9" s="358"/>
      <c r="H9" s="358"/>
      <c r="I9" s="471"/>
      <c r="J9" s="358"/>
      <c r="K9" s="358"/>
      <c r="L9" s="358"/>
    </row>
    <row r="10" spans="1:12">
      <c r="A10" s="471"/>
      <c r="B10" s="358"/>
      <c r="D10" s="705"/>
      <c r="E10" s="706" t="s">
        <v>1708</v>
      </c>
      <c r="F10" s="591"/>
      <c r="G10" s="358"/>
      <c r="H10" s="358"/>
      <c r="I10" s="471"/>
      <c r="J10" s="358"/>
      <c r="K10" s="358"/>
      <c r="L10" s="358"/>
    </row>
    <row r="11" spans="1:12" ht="58">
      <c r="A11" s="471"/>
      <c r="B11" s="358"/>
      <c r="C11" s="358"/>
      <c r="D11" s="72" t="s">
        <v>156</v>
      </c>
      <c r="E11" s="321" t="s">
        <v>1318</v>
      </c>
      <c r="F11" s="321" t="s">
        <v>1317</v>
      </c>
      <c r="G11" s="321" t="s">
        <v>1684</v>
      </c>
      <c r="H11" s="358"/>
      <c r="I11" s="471"/>
      <c r="J11" s="483"/>
      <c r="K11" s="483"/>
      <c r="L11" s="483"/>
    </row>
    <row r="12" spans="1:12">
      <c r="A12" s="471"/>
      <c r="B12" s="358"/>
      <c r="C12" s="1006" t="s">
        <v>1907</v>
      </c>
      <c r="D12" s="1019" t="s">
        <v>1933</v>
      </c>
      <c r="E12" s="527"/>
      <c r="F12" s="534"/>
      <c r="G12" s="476">
        <f>400*3.33</f>
        <v>1332</v>
      </c>
      <c r="H12" s="358"/>
      <c r="I12" s="471"/>
      <c r="J12" s="358"/>
      <c r="K12" s="358"/>
      <c r="L12" s="358"/>
    </row>
    <row r="13" spans="1:12">
      <c r="A13" s="471"/>
      <c r="B13" s="358"/>
      <c r="C13" s="1006" t="s">
        <v>1906</v>
      </c>
      <c r="D13" s="1012" t="s">
        <v>1929</v>
      </c>
      <c r="E13" s="527"/>
      <c r="F13" s="534"/>
      <c r="G13" s="476">
        <f>150*1.67</f>
        <v>250.5</v>
      </c>
      <c r="H13" s="358"/>
      <c r="I13" s="471"/>
      <c r="J13" s="358"/>
      <c r="K13" s="358"/>
      <c r="L13" s="358"/>
    </row>
    <row r="14" spans="1:12">
      <c r="A14" s="471"/>
      <c r="B14" s="358"/>
      <c r="C14" s="702" t="s">
        <v>157</v>
      </c>
      <c r="D14" s="1012" t="s">
        <v>1930</v>
      </c>
      <c r="E14" s="527"/>
      <c r="F14" s="534"/>
      <c r="G14" s="476">
        <f>100*1.67</f>
        <v>167</v>
      </c>
      <c r="H14" s="358"/>
      <c r="I14" s="471"/>
      <c r="J14" s="358"/>
      <c r="K14" s="358"/>
      <c r="L14" s="358"/>
    </row>
    <row r="15" spans="1:12">
      <c r="A15" s="471"/>
      <c r="B15" s="358"/>
      <c r="C15" s="702" t="s">
        <v>158</v>
      </c>
      <c r="D15" s="1019" t="s">
        <v>1931</v>
      </c>
      <c r="E15" s="527"/>
      <c r="F15" s="534"/>
      <c r="G15" s="476">
        <f>50*1.67</f>
        <v>83.5</v>
      </c>
      <c r="H15" s="358"/>
      <c r="I15" s="471"/>
      <c r="J15" s="358"/>
      <c r="K15" s="358"/>
      <c r="L15" s="358"/>
    </row>
    <row r="16" spans="1:12" ht="15" thickBot="1">
      <c r="A16" s="471"/>
      <c r="B16" s="358"/>
      <c r="C16" s="702" t="s">
        <v>159</v>
      </c>
      <c r="D16" s="1019" t="s">
        <v>1932</v>
      </c>
      <c r="E16" s="527"/>
      <c r="F16" s="534"/>
      <c r="G16" s="476">
        <f>20*1.67</f>
        <v>33.4</v>
      </c>
      <c r="H16" s="358"/>
      <c r="I16" s="471"/>
      <c r="J16" s="358"/>
      <c r="K16" s="358"/>
      <c r="L16" s="358"/>
    </row>
    <row r="17" spans="1:9" hidden="1">
      <c r="A17" s="471"/>
      <c r="B17" s="358"/>
      <c r="C17" s="702" t="s">
        <v>160</v>
      </c>
      <c r="D17" s="421"/>
      <c r="E17" s="527"/>
      <c r="F17" s="534"/>
      <c r="G17" s="476">
        <v>0</v>
      </c>
      <c r="H17" s="358"/>
      <c r="I17" s="471"/>
    </row>
    <row r="18" spans="1:9" hidden="1">
      <c r="A18" s="471"/>
      <c r="B18" s="358"/>
      <c r="C18" s="702" t="s">
        <v>161</v>
      </c>
      <c r="D18" s="421"/>
      <c r="E18" s="527"/>
      <c r="F18" s="534"/>
      <c r="G18" s="476">
        <v>0</v>
      </c>
      <c r="H18" s="358"/>
      <c r="I18" s="471"/>
    </row>
    <row r="19" spans="1:9" hidden="1">
      <c r="A19" s="471"/>
      <c r="B19" s="358"/>
      <c r="C19" s="702" t="s">
        <v>162</v>
      </c>
      <c r="D19" s="421"/>
      <c r="E19" s="527"/>
      <c r="F19" s="534"/>
      <c r="G19" s="476">
        <v>0</v>
      </c>
      <c r="H19" s="358"/>
      <c r="I19" s="471"/>
    </row>
    <row r="20" spans="1:9" hidden="1">
      <c r="A20" s="471"/>
      <c r="B20" s="358"/>
      <c r="C20" s="702" t="s">
        <v>163</v>
      </c>
      <c r="D20" s="421"/>
      <c r="E20" s="527"/>
      <c r="F20" s="534"/>
      <c r="G20" s="476">
        <v>0</v>
      </c>
      <c r="H20" s="358"/>
      <c r="I20" s="471"/>
    </row>
    <row r="21" spans="1:9" hidden="1">
      <c r="A21" s="471"/>
      <c r="B21" s="358"/>
      <c r="C21" s="702" t="s">
        <v>164</v>
      </c>
      <c r="D21" s="421"/>
      <c r="E21" s="527"/>
      <c r="F21" s="534"/>
      <c r="G21" s="476">
        <v>0</v>
      </c>
      <c r="H21" s="358"/>
      <c r="I21" s="471"/>
    </row>
    <row r="22" spans="1:9" hidden="1">
      <c r="A22" s="471"/>
      <c r="B22" s="358"/>
      <c r="C22" s="702" t="s">
        <v>165</v>
      </c>
      <c r="D22" s="421"/>
      <c r="E22" s="527"/>
      <c r="F22" s="534"/>
      <c r="G22" s="476">
        <v>0</v>
      </c>
      <c r="H22" s="358"/>
      <c r="I22" s="471"/>
    </row>
    <row r="23" spans="1:9" hidden="1">
      <c r="A23" s="471"/>
      <c r="B23" s="358"/>
      <c r="C23" s="702" t="s">
        <v>166</v>
      </c>
      <c r="D23" s="421"/>
      <c r="E23" s="527"/>
      <c r="F23" s="534"/>
      <c r="G23" s="476">
        <v>0</v>
      </c>
      <c r="H23" s="358"/>
      <c r="I23" s="471"/>
    </row>
    <row r="24" spans="1:9" hidden="1">
      <c r="A24" s="471"/>
      <c r="B24" s="358"/>
      <c r="C24" s="702" t="s">
        <v>167</v>
      </c>
      <c r="D24" s="421"/>
      <c r="E24" s="527"/>
      <c r="F24" s="534"/>
      <c r="G24" s="476">
        <v>0</v>
      </c>
      <c r="H24" s="358"/>
      <c r="I24" s="471"/>
    </row>
    <row r="25" spans="1:9" hidden="1">
      <c r="A25" s="471"/>
      <c r="B25" s="358"/>
      <c r="C25" s="702" t="s">
        <v>168</v>
      </c>
      <c r="D25" s="421"/>
      <c r="E25" s="527"/>
      <c r="F25" s="534"/>
      <c r="G25" s="476">
        <v>0</v>
      </c>
      <c r="H25" s="358"/>
      <c r="I25" s="471"/>
    </row>
    <row r="26" spans="1:9" hidden="1">
      <c r="A26" s="471"/>
      <c r="B26" s="358"/>
      <c r="C26" s="702" t="s">
        <v>169</v>
      </c>
      <c r="D26" s="421"/>
      <c r="E26" s="527"/>
      <c r="F26" s="534"/>
      <c r="G26" s="476">
        <v>0</v>
      </c>
      <c r="H26" s="358"/>
      <c r="I26" s="471"/>
    </row>
    <row r="27" spans="1:9" hidden="1">
      <c r="A27" s="471"/>
      <c r="B27" s="358"/>
      <c r="C27" s="702" t="s">
        <v>170</v>
      </c>
      <c r="D27" s="421"/>
      <c r="E27" s="527"/>
      <c r="F27" s="534"/>
      <c r="G27" s="476">
        <v>0</v>
      </c>
      <c r="H27" s="358"/>
      <c r="I27" s="471"/>
    </row>
    <row r="28" spans="1:9" hidden="1">
      <c r="A28" s="471"/>
      <c r="B28" s="358"/>
      <c r="C28" s="702" t="s">
        <v>171</v>
      </c>
      <c r="D28" s="421"/>
      <c r="E28" s="527"/>
      <c r="F28" s="534"/>
      <c r="G28" s="476">
        <v>0</v>
      </c>
      <c r="H28" s="358"/>
      <c r="I28" s="471"/>
    </row>
    <row r="29" spans="1:9" hidden="1">
      <c r="A29" s="471"/>
      <c r="B29" s="358"/>
      <c r="C29" s="702" t="s">
        <v>172</v>
      </c>
      <c r="D29" s="421"/>
      <c r="E29" s="527"/>
      <c r="F29" s="534"/>
      <c r="G29" s="476">
        <v>0</v>
      </c>
      <c r="H29" s="358"/>
      <c r="I29" s="471"/>
    </row>
    <row r="30" spans="1:9" hidden="1">
      <c r="A30" s="471"/>
      <c r="B30" s="358"/>
      <c r="C30" s="702" t="s">
        <v>173</v>
      </c>
      <c r="D30" s="421"/>
      <c r="E30" s="527"/>
      <c r="F30" s="534"/>
      <c r="G30" s="476">
        <v>0</v>
      </c>
      <c r="H30" s="358"/>
      <c r="I30" s="471"/>
    </row>
    <row r="31" spans="1:9" ht="15" hidden="1" thickBot="1">
      <c r="A31" s="471"/>
      <c r="B31" s="358"/>
      <c r="C31" s="702" t="s">
        <v>174</v>
      </c>
      <c r="D31" s="421"/>
      <c r="E31" s="527"/>
      <c r="F31" s="534"/>
      <c r="G31" s="476">
        <v>0</v>
      </c>
      <c r="H31" s="358"/>
      <c r="I31" s="471"/>
    </row>
    <row r="32" spans="1:9" ht="44" thickBot="1">
      <c r="A32" s="471"/>
      <c r="B32" s="358"/>
      <c r="C32" s="358"/>
      <c r="F32" s="597" t="s">
        <v>1685</v>
      </c>
      <c r="G32" s="291">
        <f>SUM(G12:G31)</f>
        <v>1866.4</v>
      </c>
      <c r="H32" s="358"/>
      <c r="I32" s="471"/>
    </row>
    <row r="33" spans="1:9">
      <c r="A33" s="471"/>
      <c r="B33" s="358"/>
      <c r="C33" s="358"/>
      <c r="D33" s="358"/>
      <c r="E33" s="358"/>
      <c r="F33" s="358"/>
      <c r="G33" s="301" t="s">
        <v>175</v>
      </c>
      <c r="H33" s="358"/>
      <c r="I33" s="471"/>
    </row>
    <row r="34" spans="1:9">
      <c r="A34" s="471"/>
      <c r="B34" s="358"/>
      <c r="C34" s="358"/>
      <c r="D34" s="358"/>
      <c r="E34" s="358"/>
      <c r="F34" s="358"/>
      <c r="G34" s="358"/>
      <c r="H34" s="358"/>
      <c r="I34" s="471"/>
    </row>
    <row r="35" spans="1:9">
      <c r="A35" s="471"/>
      <c r="B35" s="471"/>
      <c r="C35" s="471"/>
      <c r="D35" s="471"/>
      <c r="E35" s="471"/>
      <c r="F35" s="471"/>
      <c r="G35" s="471"/>
      <c r="H35" s="471"/>
      <c r="I35" s="471"/>
    </row>
  </sheetData>
  <phoneticPr fontId="34" type="noConversion"/>
  <hyperlinks>
    <hyperlink ref="G4" location="'Aufbau LCC-CO2-Tool'!A1" display="zurück zur Übersicht" xr:uid="{78FBEAAA-A88D-4706-8AB6-CFA6EFD1E228}"/>
    <hyperlink ref="G5" location="'Anleitung für Beschaffende'!A14" display="zurück zur Anleitung für Beschaffende " xr:uid="{E3130D11-F538-49AD-BAED-91628C95E469}"/>
    <hyperlink ref="G6" location="'Anleitung für Bietende'!A10" display="zurück zur Anleitung für Bietende" xr:uid="{A8423107-73EE-4085-82D5-3124CD8CEE1A}"/>
  </hyperlinks>
  <pageMargins left="0.70866141732283472" right="0.70866141732283472" top="0.78740157480314965" bottom="0.78740157480314965" header="0.31496062992125984" footer="0.31496062992125984"/>
  <pageSetup paperSize="9" scale="75" orientation="landscape" r:id="rId1"/>
  <headerFooter>
    <oddHeader>&amp;C&amp;14&amp;KFF0000TESTVERSION!</oddHeader>
    <oddFooter>&amp;L&amp;8&amp;K000000LCC-CO2-Tool - Arbeitshilfe des Umweltbundesamtes &amp;C&amp;8Berechnung der Einmalkosten&amp;R&amp;8&amp;P</oddFooter>
  </headerFooter>
  <ignoredErrors>
    <ignoredError sqref="G12:G16" unlockedFormula="1"/>
  </ignoredError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rgb="FF88DEFF"/>
    <pageSetUpPr fitToPage="1"/>
  </sheetPr>
  <dimension ref="A1:J23"/>
  <sheetViews>
    <sheetView showGridLines="0" zoomScaleNormal="100" workbookViewId="0"/>
  </sheetViews>
  <sheetFormatPr baseColWidth="10" defaultColWidth="11.08203125" defaultRowHeight="14.5"/>
  <cols>
    <col min="1" max="1" width="2.08203125" style="55" customWidth="1"/>
    <col min="2" max="2" width="3.58203125" style="55" customWidth="1"/>
    <col min="3" max="3" width="21.9140625" style="55" customWidth="1"/>
    <col min="4" max="4" width="49.58203125" style="55" customWidth="1"/>
    <col min="5" max="5" width="18.58203125" style="55" customWidth="1"/>
    <col min="6" max="6" width="3.58203125" style="55" customWidth="1"/>
    <col min="7" max="7" width="2.08203125" style="55" customWidth="1"/>
    <col min="8" max="12" width="11.08203125" style="55"/>
    <col min="13" max="13" width="36.58203125" style="55" customWidth="1"/>
    <col min="14" max="16384" width="11.08203125" style="55"/>
  </cols>
  <sheetData>
    <row r="1" spans="1:10">
      <c r="A1" s="471"/>
      <c r="B1" s="471"/>
      <c r="C1" s="471"/>
      <c r="D1" s="472"/>
      <c r="E1" s="471"/>
      <c r="F1" s="472"/>
      <c r="G1" s="471"/>
      <c r="H1" s="358"/>
      <c r="I1" s="358"/>
      <c r="J1" s="358"/>
    </row>
    <row r="2" spans="1:10" ht="33.65" customHeight="1">
      <c r="A2" s="471"/>
      <c r="B2" s="68"/>
      <c r="C2" s="68" t="s">
        <v>176</v>
      </c>
      <c r="D2" s="68"/>
      <c r="E2" s="68"/>
      <c r="F2" s="56"/>
      <c r="G2" s="471"/>
      <c r="H2" s="358"/>
      <c r="I2" s="358"/>
      <c r="J2" s="358"/>
    </row>
    <row r="3" spans="1:10" ht="33.5">
      <c r="A3" s="471"/>
      <c r="B3" s="369"/>
      <c r="C3" s="287" t="s">
        <v>177</v>
      </c>
      <c r="D3" s="57"/>
      <c r="E3" s="56"/>
      <c r="F3" s="57"/>
      <c r="G3" s="471"/>
      <c r="H3" s="996" t="s">
        <v>1886</v>
      </c>
      <c r="I3" s="358"/>
      <c r="J3" s="358"/>
    </row>
    <row r="4" spans="1:10">
      <c r="A4" s="471"/>
      <c r="B4" s="358"/>
      <c r="C4" s="358" t="s">
        <v>92</v>
      </c>
      <c r="E4" s="358"/>
      <c r="F4" s="404"/>
      <c r="G4" s="471"/>
      <c r="H4" s="996" t="s">
        <v>1887</v>
      </c>
      <c r="I4" s="358"/>
      <c r="J4" s="358"/>
    </row>
    <row r="5" spans="1:10">
      <c r="A5" s="471"/>
      <c r="B5" s="358"/>
      <c r="C5" s="370" t="s">
        <v>120</v>
      </c>
      <c r="E5" s="358"/>
      <c r="F5" s="404"/>
      <c r="G5" s="471"/>
      <c r="H5" s="996" t="s">
        <v>1888</v>
      </c>
      <c r="I5" s="358"/>
      <c r="J5" s="358"/>
    </row>
    <row r="6" spans="1:10">
      <c r="A6" s="471"/>
      <c r="B6" s="358"/>
      <c r="C6" s="358"/>
      <c r="D6" s="358"/>
      <c r="E6" s="358"/>
      <c r="F6" s="358"/>
      <c r="G6" s="471"/>
      <c r="H6" s="358"/>
      <c r="I6" s="358"/>
      <c r="J6" s="358"/>
    </row>
    <row r="7" spans="1:10">
      <c r="A7" s="471"/>
      <c r="B7" s="358"/>
      <c r="C7" s="358"/>
      <c r="D7" s="358"/>
      <c r="E7" s="358"/>
      <c r="F7" s="358"/>
      <c r="G7" s="471"/>
      <c r="H7" s="358"/>
      <c r="I7" s="358"/>
      <c r="J7" s="358"/>
    </row>
    <row r="8" spans="1:10">
      <c r="A8" s="471"/>
      <c r="B8" s="358"/>
      <c r="C8" s="358"/>
      <c r="D8" s="477" t="s">
        <v>178</v>
      </c>
      <c r="E8" s="478">
        <v>0</v>
      </c>
      <c r="F8" s="358"/>
      <c r="G8" s="471"/>
      <c r="H8" s="358"/>
      <c r="I8" s="358"/>
      <c r="J8" s="358"/>
    </row>
    <row r="9" spans="1:10">
      <c r="A9" s="471"/>
      <c r="B9" s="358"/>
      <c r="C9" s="358"/>
      <c r="D9" s="477" t="s">
        <v>179</v>
      </c>
      <c r="E9" s="478">
        <v>0</v>
      </c>
      <c r="F9" s="358"/>
      <c r="G9" s="471"/>
      <c r="H9" s="358"/>
      <c r="I9" s="358"/>
      <c r="J9" s="358"/>
    </row>
    <row r="10" spans="1:10" ht="15" thickBot="1">
      <c r="A10" s="471"/>
      <c r="B10" s="358"/>
      <c r="C10" s="358"/>
      <c r="D10" s="477" t="s">
        <v>180</v>
      </c>
      <c r="E10" s="478">
        <v>0</v>
      </c>
      <c r="F10" s="358"/>
      <c r="G10" s="471"/>
      <c r="H10" s="358"/>
      <c r="I10" s="358"/>
      <c r="J10" s="358"/>
    </row>
    <row r="11" spans="1:10" ht="29.5" thickBot="1">
      <c r="A11" s="471"/>
      <c r="B11" s="358"/>
      <c r="C11" s="358"/>
      <c r="D11" s="597" t="s">
        <v>1687</v>
      </c>
      <c r="E11" s="289">
        <f>SUM(E8:E10)</f>
        <v>0</v>
      </c>
      <c r="F11" s="358"/>
      <c r="G11" s="471"/>
      <c r="H11" s="483"/>
      <c r="I11" s="483"/>
      <c r="J11" s="483"/>
    </row>
    <row r="12" spans="1:10">
      <c r="A12" s="471"/>
      <c r="B12" s="358"/>
      <c r="C12" s="358"/>
      <c r="D12" s="358"/>
      <c r="E12" s="598" t="s">
        <v>175</v>
      </c>
      <c r="F12" s="358"/>
      <c r="G12" s="471"/>
      <c r="H12" s="358"/>
      <c r="I12" s="358"/>
      <c r="J12" s="358"/>
    </row>
    <row r="13" spans="1:10">
      <c r="A13" s="471"/>
      <c r="B13" s="358"/>
      <c r="C13" s="358"/>
      <c r="D13" s="358"/>
      <c r="E13" s="358"/>
      <c r="F13" s="358"/>
      <c r="G13" s="471"/>
      <c r="H13" s="358"/>
      <c r="I13" s="358"/>
      <c r="J13" s="358"/>
    </row>
    <row r="14" spans="1:10">
      <c r="A14" s="471"/>
      <c r="B14" s="358"/>
      <c r="C14" s="358"/>
      <c r="D14" s="477" t="s">
        <v>181</v>
      </c>
      <c r="E14" s="478">
        <v>0</v>
      </c>
      <c r="F14" s="358"/>
      <c r="G14" s="471"/>
      <c r="H14" s="358"/>
      <c r="I14" s="358"/>
      <c r="J14" s="358"/>
    </row>
    <row r="15" spans="1:10">
      <c r="A15" s="471"/>
      <c r="B15" s="358"/>
      <c r="C15" s="358"/>
      <c r="D15" s="477" t="s">
        <v>182</v>
      </c>
      <c r="E15" s="478">
        <v>0</v>
      </c>
      <c r="F15" s="358"/>
      <c r="G15" s="471"/>
      <c r="H15" s="358"/>
      <c r="I15" s="358"/>
      <c r="J15" s="358"/>
    </row>
    <row r="16" spans="1:10" ht="15" thickBot="1">
      <c r="A16" s="471"/>
      <c r="B16" s="358"/>
      <c r="C16" s="358"/>
      <c r="D16" s="477" t="s">
        <v>183</v>
      </c>
      <c r="E16" s="478">
        <v>0</v>
      </c>
      <c r="F16" s="358"/>
      <c r="G16" s="471"/>
      <c r="H16" s="358"/>
      <c r="I16" s="358"/>
      <c r="J16" s="358"/>
    </row>
    <row r="17" spans="1:10" ht="29.5" thickBot="1">
      <c r="A17" s="471"/>
      <c r="B17" s="358"/>
      <c r="C17" s="358"/>
      <c r="D17" s="597" t="s">
        <v>1688</v>
      </c>
      <c r="E17" s="289">
        <f>SUM(E14:E16)</f>
        <v>0</v>
      </c>
      <c r="F17" s="358"/>
      <c r="G17" s="471"/>
      <c r="H17" s="483"/>
      <c r="I17" s="483"/>
      <c r="J17" s="483"/>
    </row>
    <row r="18" spans="1:10">
      <c r="A18" s="471"/>
      <c r="B18" s="358"/>
      <c r="C18" s="358"/>
      <c r="D18" s="358"/>
      <c r="E18" s="598" t="s">
        <v>175</v>
      </c>
      <c r="F18" s="358"/>
      <c r="G18" s="471"/>
      <c r="H18" s="358"/>
      <c r="I18" s="358"/>
      <c r="J18" s="358"/>
    </row>
    <row r="19" spans="1:10" ht="15" thickBot="1">
      <c r="A19" s="471"/>
      <c r="B19" s="358"/>
      <c r="C19" s="358"/>
      <c r="D19" s="358"/>
      <c r="E19" s="598"/>
      <c r="F19" s="358"/>
      <c r="G19" s="471"/>
      <c r="H19" s="358"/>
      <c r="I19" s="358"/>
      <c r="J19" s="358"/>
    </row>
    <row r="20" spans="1:10" ht="29.5" thickBot="1">
      <c r="A20" s="471"/>
      <c r="B20" s="358"/>
      <c r="C20" s="358"/>
      <c r="D20" s="597" t="s">
        <v>1686</v>
      </c>
      <c r="E20" s="289">
        <f>SUM(E11,E17)</f>
        <v>0</v>
      </c>
      <c r="F20" s="358"/>
      <c r="G20" s="471"/>
      <c r="H20" s="358"/>
      <c r="I20" s="358"/>
      <c r="J20" s="358"/>
    </row>
    <row r="21" spans="1:10">
      <c r="A21" s="471"/>
      <c r="B21" s="358"/>
      <c r="C21" s="358"/>
      <c r="D21" s="358"/>
      <c r="E21" s="598" t="s">
        <v>175</v>
      </c>
      <c r="F21" s="358"/>
      <c r="G21" s="471"/>
      <c r="H21" s="358"/>
      <c r="I21" s="358"/>
      <c r="J21" s="358"/>
    </row>
    <row r="22" spans="1:10">
      <c r="A22" s="471"/>
      <c r="B22" s="358"/>
      <c r="C22" s="358"/>
      <c r="D22" s="358"/>
      <c r="E22" s="358"/>
      <c r="F22" s="358"/>
      <c r="G22" s="471"/>
      <c r="H22" s="358"/>
      <c r="I22" s="358"/>
      <c r="J22" s="358"/>
    </row>
    <row r="23" spans="1:10">
      <c r="A23" s="471"/>
      <c r="B23" s="471"/>
      <c r="C23" s="471"/>
      <c r="D23" s="471"/>
      <c r="E23" s="471"/>
      <c r="F23" s="471"/>
      <c r="G23" s="471"/>
      <c r="H23" s="358"/>
      <c r="I23" s="358"/>
      <c r="J23" s="358"/>
    </row>
  </sheetData>
  <phoneticPr fontId="34" type="noConversion"/>
  <hyperlinks>
    <hyperlink ref="H3" location="'Aufbau LCC-CO2-Tool'!A1" display="zurück zur Übersicht" xr:uid="{00BAF44D-2080-408F-BB19-FBC51F6EA436}"/>
    <hyperlink ref="H4" location="'Anleitung für Beschaffende'!A15" display="zurück zur Anleitung für Beschaffende " xr:uid="{8C681681-95A3-4AAB-911F-531C92BE3C14}"/>
    <hyperlink ref="H5" location="'Anleitung für Bietende'!A11" display="zurück zur Anleitung für Bietende" xr:uid="{47A67FE6-1472-4AD1-89FE-80EF12347AA5}"/>
  </hyperlinks>
  <pageMargins left="0.70866141732283472" right="0.70866141732283472" top="0.78740157480314965" bottom="0.78740157480314965" header="0.31496062992125984" footer="0.31496062992125984"/>
  <pageSetup paperSize="9" orientation="landscape" r:id="rId1"/>
  <headerFooter>
    <oddHeader>&amp;C&amp;14&amp;KFF0000TESTVERSION!</oddHeader>
    <oddFooter>&amp;L&amp;8&amp;K000000LCC-CO2-Tool - Arbeitshilfe des Umweltbundesamtes&amp;C&amp;8Berechnung Transport- und Installationskosten&amp;R&amp;8&amp;P</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tabColor rgb="FF88DEFF"/>
    <pageSetUpPr fitToPage="1"/>
  </sheetPr>
  <dimension ref="A1:L77"/>
  <sheetViews>
    <sheetView showGridLines="0" zoomScaleNormal="100" workbookViewId="0">
      <selection activeCell="D66" sqref="D66"/>
    </sheetView>
  </sheetViews>
  <sheetFormatPr baseColWidth="10" defaultColWidth="11.08203125" defaultRowHeight="14.5"/>
  <cols>
    <col min="1" max="1" width="2.08203125" style="55" customWidth="1"/>
    <col min="2" max="2" width="3.58203125" style="55" customWidth="1"/>
    <col min="3" max="3" width="44" style="55" customWidth="1"/>
    <col min="4" max="4" width="15.83203125" style="55" customWidth="1"/>
    <col min="5" max="5" width="2.58203125" style="55" customWidth="1"/>
    <col min="6" max="6" width="20.1640625" style="55" customWidth="1"/>
    <col min="7" max="7" width="2.58203125" style="55" customWidth="1"/>
    <col min="8" max="8" width="18.58203125" style="55" customWidth="1"/>
    <col min="9" max="9" width="14.83203125" style="55" customWidth="1"/>
    <col min="10" max="10" width="2.58203125" style="55" customWidth="1"/>
    <col min="11" max="11" width="2.08203125" style="55" customWidth="1"/>
    <col min="12" max="16" width="11.08203125" style="55"/>
    <col min="17" max="17" width="36.58203125" style="55" customWidth="1"/>
    <col min="18" max="16384" width="11.08203125" style="55"/>
  </cols>
  <sheetData>
    <row r="1" spans="1:12">
      <c r="A1" s="471"/>
      <c r="B1" s="471"/>
      <c r="C1" s="472"/>
      <c r="D1" s="471"/>
      <c r="E1" s="471"/>
      <c r="F1" s="471"/>
      <c r="G1" s="471"/>
      <c r="H1" s="471"/>
      <c r="I1" s="472"/>
      <c r="J1" s="472"/>
      <c r="K1" s="471"/>
      <c r="L1" s="358"/>
    </row>
    <row r="2" spans="1:12" ht="33.5">
      <c r="A2" s="471"/>
      <c r="B2" s="72"/>
      <c r="C2" s="68" t="s">
        <v>184</v>
      </c>
      <c r="D2" s="68"/>
      <c r="E2" s="68"/>
      <c r="F2" s="68"/>
      <c r="G2" s="68"/>
      <c r="H2" s="68"/>
      <c r="I2" s="71"/>
      <c r="J2" s="71"/>
      <c r="K2" s="471"/>
      <c r="L2" s="358"/>
    </row>
    <row r="3" spans="1:12" ht="33.5">
      <c r="A3" s="471"/>
      <c r="B3" s="369"/>
      <c r="C3" s="358" t="s">
        <v>92</v>
      </c>
      <c r="D3" s="56"/>
      <c r="E3" s="56"/>
      <c r="F3" s="56"/>
      <c r="G3" s="56"/>
      <c r="H3" s="56"/>
      <c r="I3" s="57"/>
      <c r="J3" s="57"/>
      <c r="K3" s="471"/>
      <c r="L3" s="996" t="s">
        <v>1886</v>
      </c>
    </row>
    <row r="4" spans="1:12">
      <c r="A4" s="471"/>
      <c r="B4" s="358"/>
      <c r="C4" s="370" t="s">
        <v>120</v>
      </c>
      <c r="D4" s="358"/>
      <c r="E4" s="358"/>
      <c r="F4" s="358"/>
      <c r="G4" s="358"/>
      <c r="H4" s="358"/>
      <c r="I4" s="404"/>
      <c r="J4" s="404"/>
      <c r="K4" s="471"/>
      <c r="L4" s="996" t="s">
        <v>1887</v>
      </c>
    </row>
    <row r="5" spans="1:12">
      <c r="A5" s="471"/>
      <c r="B5" s="358"/>
      <c r="C5" s="374" t="s">
        <v>44</v>
      </c>
      <c r="D5" s="358"/>
      <c r="E5" s="358"/>
      <c r="F5" s="358"/>
      <c r="G5" s="358"/>
      <c r="H5" s="358"/>
      <c r="I5" s="404"/>
      <c r="J5" s="404"/>
      <c r="K5" s="471"/>
      <c r="L5" s="996" t="s">
        <v>1888</v>
      </c>
    </row>
    <row r="6" spans="1:12" ht="25" thickBot="1">
      <c r="A6" s="471"/>
      <c r="B6" s="358"/>
      <c r="C6" s="358"/>
      <c r="D6" s="358"/>
      <c r="E6" s="358"/>
      <c r="F6" s="358"/>
      <c r="G6" s="358"/>
      <c r="H6" s="846" t="s">
        <v>1775</v>
      </c>
      <c r="I6" s="358"/>
      <c r="J6" s="358"/>
      <c r="K6" s="471"/>
      <c r="L6" s="358"/>
    </row>
    <row r="7" spans="1:12" ht="15" thickBot="1">
      <c r="A7" s="471"/>
      <c r="B7" s="358"/>
      <c r="C7" s="358"/>
      <c r="D7" s="358"/>
      <c r="E7" s="358"/>
      <c r="F7" s="358"/>
      <c r="G7" s="288" t="s">
        <v>1913</v>
      </c>
      <c r="H7" s="289">
        <f>SUM(H11,H47,H62)</f>
        <v>615.66498095999998</v>
      </c>
      <c r="I7" s="292" t="s">
        <v>175</v>
      </c>
      <c r="J7" s="358"/>
      <c r="K7" s="471"/>
      <c r="L7" s="358"/>
    </row>
    <row r="8" spans="1:12" ht="15" thickBot="1">
      <c r="A8" s="471"/>
      <c r="B8" s="358"/>
      <c r="C8" s="358"/>
      <c r="D8" s="358"/>
      <c r="E8" s="358"/>
      <c r="F8" s="358"/>
      <c r="G8" s="358"/>
      <c r="H8" s="62"/>
      <c r="I8" s="358"/>
      <c r="J8" s="358"/>
      <c r="K8" s="471"/>
      <c r="L8" s="358"/>
    </row>
    <row r="9" spans="1:12" ht="15" thickBot="1">
      <c r="A9" s="471"/>
      <c r="B9" s="358"/>
      <c r="C9" s="358"/>
      <c r="D9" s="358"/>
      <c r="E9" s="358"/>
      <c r="F9" s="358"/>
      <c r="G9" s="288" t="s">
        <v>185</v>
      </c>
      <c r="H9" s="289">
        <f>IFERROR(H7/Nutzung!C8,0)</f>
        <v>61.566498095999997</v>
      </c>
      <c r="I9" s="292" t="s">
        <v>175</v>
      </c>
      <c r="J9" s="358"/>
      <c r="K9" s="471"/>
      <c r="L9" s="358"/>
    </row>
    <row r="10" spans="1:12" ht="21.5" thickBot="1">
      <c r="A10" s="471"/>
      <c r="B10" s="358"/>
      <c r="C10" s="296" t="s">
        <v>1689</v>
      </c>
      <c r="D10" s="483"/>
      <c r="E10" s="483"/>
      <c r="F10" s="483"/>
      <c r="G10" s="358"/>
      <c r="H10" s="62"/>
      <c r="I10" s="358"/>
      <c r="J10" s="358"/>
      <c r="K10" s="471"/>
      <c r="L10" s="358"/>
    </row>
    <row r="11" spans="1:12">
      <c r="A11" s="471"/>
      <c r="B11" s="358"/>
      <c r="C11" s="295"/>
      <c r="D11" s="479"/>
      <c r="E11" s="479"/>
      <c r="F11" s="479"/>
      <c r="G11" s="293" t="s">
        <v>1912</v>
      </c>
      <c r="H11" s="480">
        <f>((IFERROR(H17*VLOOKUP(G17,D22:H44,5,FALSE),0)+IFERROR(H18*VLOOKUP(G18,D22:H44,5,FALSE),0)+IFERROR(H19*VLOOKUP(G19,D22:H44,5,FALSE),0))*Nutzung!C8)</f>
        <v>103.56498096000003</v>
      </c>
      <c r="I11" s="292" t="s">
        <v>175</v>
      </c>
      <c r="J11" s="217"/>
      <c r="K11" s="471"/>
      <c r="L11" s="358"/>
    </row>
    <row r="12" spans="1:12">
      <c r="A12" s="471"/>
      <c r="B12" s="358"/>
      <c r="C12" s="481"/>
      <c r="D12" s="358"/>
      <c r="E12" s="358"/>
      <c r="F12" s="358"/>
      <c r="G12" s="294" t="s">
        <v>117</v>
      </c>
      <c r="H12" s="482">
        <f>IFERROR(H11/Nutzung!C8,0)</f>
        <v>10.356498096000003</v>
      </c>
      <c r="I12" s="292" t="s">
        <v>175</v>
      </c>
      <c r="J12" s="110"/>
      <c r="K12" s="471"/>
      <c r="L12" s="358"/>
    </row>
    <row r="13" spans="1:12">
      <c r="A13" s="471"/>
      <c r="B13" s="358"/>
      <c r="C13" s="481"/>
      <c r="D13" s="358"/>
      <c r="E13" s="358"/>
      <c r="F13" s="358"/>
      <c r="G13" s="869"/>
      <c r="H13" s="870"/>
      <c r="I13" s="292"/>
      <c r="J13" s="110"/>
      <c r="K13" s="471"/>
      <c r="L13" s="358"/>
    </row>
    <row r="14" spans="1:12">
      <c r="A14" s="471"/>
      <c r="B14" s="358"/>
      <c r="C14" s="73" t="s">
        <v>1695</v>
      </c>
      <c r="D14" s="358"/>
      <c r="E14" s="358"/>
      <c r="F14" s="358"/>
      <c r="G14" s="869"/>
      <c r="H14" s="870"/>
      <c r="I14" s="292"/>
      <c r="J14" s="110"/>
      <c r="K14" s="471"/>
      <c r="L14" s="358"/>
    </row>
    <row r="15" spans="1:12">
      <c r="A15" s="471"/>
      <c r="B15" s="358"/>
      <c r="C15" s="874" t="s">
        <v>1694</v>
      </c>
      <c r="D15" s="358"/>
      <c r="E15" s="358"/>
      <c r="F15" s="358"/>
      <c r="G15" s="869"/>
      <c r="H15" s="870"/>
      <c r="I15" s="292"/>
      <c r="J15" s="110"/>
      <c r="K15" s="471"/>
      <c r="L15" s="358"/>
    </row>
    <row r="16" spans="1:12" ht="21">
      <c r="A16" s="471"/>
      <c r="B16" s="358"/>
      <c r="C16" s="879" t="s">
        <v>1790</v>
      </c>
      <c r="D16" s="358"/>
      <c r="E16" s="358"/>
      <c r="F16" s="72" t="s">
        <v>1078</v>
      </c>
      <c r="G16" s="72"/>
      <c r="H16" s="871" t="s">
        <v>1787</v>
      </c>
      <c r="I16" s="358"/>
      <c r="J16" s="358"/>
      <c r="K16" s="471"/>
      <c r="L16" s="358"/>
    </row>
    <row r="17" spans="1:12" ht="14.15" customHeight="1">
      <c r="A17" s="471"/>
      <c r="B17" s="358"/>
      <c r="C17" s="875"/>
      <c r="D17" s="876"/>
      <c r="E17" s="877"/>
      <c r="F17" s="878"/>
      <c r="G17" s="623" t="str">
        <f>IF(H17=0,"",Nutzung!C18)</f>
        <v>Strommix_DE_kWh</v>
      </c>
      <c r="H17" s="624">
        <f>Nutzung!F18</f>
        <v>11.010719999999999</v>
      </c>
      <c r="I17" s="292" t="s">
        <v>186</v>
      </c>
      <c r="J17" s="358"/>
      <c r="K17" s="471"/>
      <c r="L17" s="358"/>
    </row>
    <row r="18" spans="1:12">
      <c r="A18" s="471"/>
      <c r="B18" s="358"/>
      <c r="C18" s="873"/>
      <c r="D18" s="358"/>
      <c r="F18" s="868"/>
      <c r="G18" s="625" t="str">
        <f>IF(H18=0,"",Nutzung!C19)</f>
        <v>Strommix_DE_kWh</v>
      </c>
      <c r="H18" s="626">
        <f>Nutzung!F19</f>
        <v>22.922760000000004</v>
      </c>
      <c r="I18" s="292" t="s">
        <v>186</v>
      </c>
      <c r="J18" s="358"/>
      <c r="K18" s="471"/>
      <c r="L18" s="358"/>
    </row>
    <row r="19" spans="1:12">
      <c r="A19" s="471"/>
      <c r="B19" s="358"/>
      <c r="C19" s="873"/>
      <c r="D19" s="358"/>
      <c r="F19" s="867"/>
      <c r="G19" s="621" t="str">
        <f>IF(H19=0,"",Nutzung!C20)</f>
        <v/>
      </c>
      <c r="H19" s="599">
        <f>Nutzung!F20</f>
        <v>0</v>
      </c>
      <c r="I19" s="292" t="s">
        <v>186</v>
      </c>
      <c r="J19" s="358"/>
      <c r="K19" s="471"/>
      <c r="L19" s="358"/>
    </row>
    <row r="20" spans="1:12">
      <c r="A20" s="471"/>
      <c r="B20" s="358"/>
      <c r="C20" s="73" t="s">
        <v>1788</v>
      </c>
      <c r="D20" s="358"/>
      <c r="E20" s="484"/>
      <c r="F20" s="358"/>
      <c r="G20" s="358"/>
      <c r="H20" s="485"/>
      <c r="I20" s="358"/>
      <c r="J20" s="358"/>
      <c r="K20" s="471"/>
    </row>
    <row r="21" spans="1:12">
      <c r="A21" s="471"/>
      <c r="B21" s="358"/>
      <c r="C21" s="481"/>
      <c r="D21" s="593" t="s">
        <v>187</v>
      </c>
      <c r="E21" s="484"/>
      <c r="F21" s="358"/>
      <c r="G21" s="358"/>
      <c r="H21" s="485"/>
      <c r="I21" s="358"/>
      <c r="J21" s="358"/>
      <c r="K21" s="471"/>
    </row>
    <row r="22" spans="1:12">
      <c r="A22" s="471"/>
      <c r="B22" s="358"/>
      <c r="C22" s="594" t="s">
        <v>1673</v>
      </c>
      <c r="D22" s="233" t="s">
        <v>188</v>
      </c>
      <c r="E22" s="486"/>
      <c r="F22" s="487"/>
      <c r="G22" s="487"/>
      <c r="H22" s="488">
        <v>0.30520000000000003</v>
      </c>
      <c r="I22" s="358"/>
      <c r="J22" s="358"/>
      <c r="K22" s="471"/>
    </row>
    <row r="23" spans="1:12">
      <c r="A23" s="471"/>
      <c r="B23" s="358"/>
      <c r="C23" s="218" t="s">
        <v>1674</v>
      </c>
      <c r="D23" s="233" t="s">
        <v>189</v>
      </c>
      <c r="E23" s="486"/>
      <c r="F23" s="487"/>
      <c r="G23" s="487"/>
      <c r="H23" s="489">
        <v>0</v>
      </c>
      <c r="I23" s="358"/>
      <c r="J23" s="358"/>
      <c r="K23" s="471"/>
    </row>
    <row r="24" spans="1:12">
      <c r="A24" s="471"/>
      <c r="B24" s="358"/>
      <c r="C24" s="595" t="s">
        <v>1675</v>
      </c>
      <c r="D24" s="233" t="s">
        <v>190</v>
      </c>
      <c r="E24" s="486"/>
      <c r="F24" s="487"/>
      <c r="G24" s="487"/>
      <c r="H24" s="491">
        <v>0</v>
      </c>
      <c r="I24" s="358"/>
      <c r="J24" s="358"/>
      <c r="K24" s="471"/>
    </row>
    <row r="25" spans="1:12">
      <c r="A25" s="471"/>
      <c r="B25" s="358"/>
      <c r="C25" s="490" t="s">
        <v>201</v>
      </c>
      <c r="D25" s="233" t="s">
        <v>202</v>
      </c>
      <c r="E25" s="486"/>
      <c r="F25" s="487"/>
      <c r="G25" s="487"/>
      <c r="H25" s="491">
        <v>0</v>
      </c>
      <c r="I25" s="358"/>
      <c r="J25" s="358"/>
      <c r="K25" s="471"/>
    </row>
    <row r="26" spans="1:12">
      <c r="A26" s="471"/>
      <c r="B26" s="358"/>
      <c r="C26" s="595" t="s">
        <v>1676</v>
      </c>
      <c r="D26" s="233" t="s">
        <v>192</v>
      </c>
      <c r="E26" s="486"/>
      <c r="F26" s="487"/>
      <c r="G26" s="487"/>
      <c r="H26" s="491">
        <v>0</v>
      </c>
      <c r="I26" s="358"/>
      <c r="J26" s="358"/>
      <c r="K26" s="471"/>
    </row>
    <row r="27" spans="1:12">
      <c r="A27" s="471"/>
      <c r="B27" s="358"/>
      <c r="C27" s="490" t="s">
        <v>203</v>
      </c>
      <c r="D27" s="233" t="s">
        <v>204</v>
      </c>
      <c r="E27" s="486"/>
      <c r="F27" s="487"/>
      <c r="G27" s="487"/>
      <c r="H27" s="491">
        <v>0</v>
      </c>
      <c r="I27" s="358"/>
      <c r="J27" s="358"/>
      <c r="K27" s="471"/>
    </row>
    <row r="28" spans="1:12">
      <c r="A28" s="471"/>
      <c r="B28" s="358"/>
      <c r="C28" s="595" t="s">
        <v>1677</v>
      </c>
      <c r="D28" s="233" t="s">
        <v>193</v>
      </c>
      <c r="E28" s="486"/>
      <c r="F28" s="487"/>
      <c r="G28" s="487"/>
      <c r="H28" s="491">
        <v>0</v>
      </c>
      <c r="I28" s="358"/>
      <c r="J28" s="358"/>
      <c r="K28" s="471"/>
    </row>
    <row r="29" spans="1:12">
      <c r="A29" s="471"/>
      <c r="B29" s="358"/>
      <c r="C29" s="490" t="s">
        <v>205</v>
      </c>
      <c r="D29" s="233" t="s">
        <v>206</v>
      </c>
      <c r="E29" s="486"/>
      <c r="F29" s="487"/>
      <c r="G29" s="487"/>
      <c r="H29" s="491">
        <v>0</v>
      </c>
      <c r="I29" s="358"/>
      <c r="J29" s="358"/>
      <c r="K29" s="471"/>
    </row>
    <row r="30" spans="1:12">
      <c r="A30" s="471"/>
      <c r="B30" s="358"/>
      <c r="C30" s="595" t="s">
        <v>1678</v>
      </c>
      <c r="D30" s="233" t="s">
        <v>194</v>
      </c>
      <c r="E30" s="486"/>
      <c r="F30" s="487"/>
      <c r="G30" s="487"/>
      <c r="H30" s="491">
        <v>0</v>
      </c>
      <c r="I30" s="358"/>
      <c r="J30" s="358"/>
      <c r="K30" s="471"/>
    </row>
    <row r="31" spans="1:12">
      <c r="A31" s="471"/>
      <c r="B31" s="358"/>
      <c r="C31" s="490" t="s">
        <v>207</v>
      </c>
      <c r="D31" s="233" t="s">
        <v>208</v>
      </c>
      <c r="E31" s="486"/>
      <c r="F31" s="487"/>
      <c r="G31" s="487"/>
      <c r="H31" s="491">
        <v>0</v>
      </c>
      <c r="I31" s="358"/>
      <c r="J31" s="358"/>
      <c r="K31" s="471"/>
    </row>
    <row r="32" spans="1:12">
      <c r="A32" s="471"/>
      <c r="B32" s="358"/>
      <c r="C32" s="872" t="s">
        <v>1679</v>
      </c>
      <c r="D32" s="233" t="s">
        <v>195</v>
      </c>
      <c r="E32" s="486"/>
      <c r="F32" s="487"/>
      <c r="G32" s="487"/>
      <c r="H32" s="491">
        <v>0</v>
      </c>
      <c r="I32" s="358"/>
      <c r="J32" s="358"/>
      <c r="K32" s="471"/>
    </row>
    <row r="33" spans="1:11">
      <c r="A33" s="471"/>
      <c r="B33" s="358"/>
      <c r="C33" s="490" t="s">
        <v>209</v>
      </c>
      <c r="D33" s="233" t="s">
        <v>210</v>
      </c>
      <c r="E33" s="486"/>
      <c r="F33" s="487"/>
      <c r="G33" s="487"/>
      <c r="H33" s="491">
        <v>0</v>
      </c>
      <c r="I33" s="358"/>
      <c r="J33" s="358"/>
      <c r="K33" s="471"/>
    </row>
    <row r="34" spans="1:11">
      <c r="A34" s="471"/>
      <c r="B34" s="358"/>
      <c r="C34" s="595" t="s">
        <v>1680</v>
      </c>
      <c r="D34" s="233" t="s">
        <v>196</v>
      </c>
      <c r="E34" s="486"/>
      <c r="F34" s="487"/>
      <c r="G34" s="487"/>
      <c r="H34" s="491">
        <v>0</v>
      </c>
      <c r="I34" s="358"/>
      <c r="J34" s="358"/>
      <c r="K34" s="471"/>
    </row>
    <row r="35" spans="1:11">
      <c r="A35" s="471"/>
      <c r="B35" s="358"/>
      <c r="C35" s="490" t="s">
        <v>211</v>
      </c>
      <c r="D35" s="233" t="s">
        <v>212</v>
      </c>
      <c r="E35" s="486"/>
      <c r="F35" s="487"/>
      <c r="G35" s="487"/>
      <c r="H35" s="491">
        <v>0</v>
      </c>
      <c r="I35" s="358"/>
      <c r="J35" s="358"/>
      <c r="K35" s="471"/>
    </row>
    <row r="36" spans="1:11">
      <c r="A36" s="471"/>
      <c r="B36" s="358"/>
      <c r="C36" s="595" t="s">
        <v>1681</v>
      </c>
      <c r="D36" s="233" t="s">
        <v>198</v>
      </c>
      <c r="E36" s="486"/>
      <c r="F36" s="487"/>
      <c r="G36" s="487"/>
      <c r="H36" s="491">
        <v>0</v>
      </c>
      <c r="I36" s="358"/>
      <c r="J36" s="358"/>
      <c r="K36" s="471"/>
    </row>
    <row r="37" spans="1:11">
      <c r="A37" s="471"/>
      <c r="B37" s="358"/>
      <c r="C37" s="490" t="s">
        <v>213</v>
      </c>
      <c r="D37" s="233" t="s">
        <v>214</v>
      </c>
      <c r="E37" s="486"/>
      <c r="F37" s="487"/>
      <c r="G37" s="487"/>
      <c r="H37" s="491">
        <v>0</v>
      </c>
      <c r="I37" s="358"/>
      <c r="J37" s="358"/>
      <c r="K37" s="471"/>
    </row>
    <row r="38" spans="1:11">
      <c r="A38" s="471"/>
      <c r="B38" s="358"/>
      <c r="C38" s="595" t="s">
        <v>1682</v>
      </c>
      <c r="D38" s="233" t="s">
        <v>199</v>
      </c>
      <c r="E38" s="486"/>
      <c r="F38" s="487"/>
      <c r="G38" s="487"/>
      <c r="H38" s="491">
        <v>0</v>
      </c>
      <c r="I38" s="358"/>
      <c r="J38" s="358"/>
      <c r="K38" s="471"/>
    </row>
    <row r="39" spans="1:11">
      <c r="A39" s="471"/>
      <c r="B39" s="358"/>
      <c r="C39" s="490" t="s">
        <v>215</v>
      </c>
      <c r="D39" s="233" t="s">
        <v>216</v>
      </c>
      <c r="E39" s="486"/>
      <c r="F39" s="487"/>
      <c r="G39" s="487"/>
      <c r="H39" s="491">
        <v>0</v>
      </c>
      <c r="I39" s="358"/>
      <c r="J39" s="358"/>
      <c r="K39" s="471"/>
    </row>
    <row r="40" spans="1:11">
      <c r="A40" s="471"/>
      <c r="B40" s="358"/>
      <c r="C40" s="595" t="s">
        <v>1683</v>
      </c>
      <c r="D40" s="233" t="s">
        <v>200</v>
      </c>
      <c r="E40" s="486"/>
      <c r="F40" s="487"/>
      <c r="G40" s="487"/>
      <c r="H40" s="491">
        <v>0</v>
      </c>
      <c r="I40" s="358"/>
      <c r="J40" s="358"/>
      <c r="K40" s="471"/>
    </row>
    <row r="41" spans="1:11">
      <c r="A41" s="471"/>
      <c r="B41" s="358"/>
      <c r="C41" s="490" t="s">
        <v>217</v>
      </c>
      <c r="D41" s="233" t="s">
        <v>218</v>
      </c>
      <c r="E41" s="486"/>
      <c r="F41" s="487"/>
      <c r="G41" s="487"/>
      <c r="H41" s="491">
        <v>0</v>
      </c>
      <c r="I41" s="358"/>
      <c r="J41" s="358"/>
      <c r="K41" s="471"/>
    </row>
    <row r="42" spans="1:11">
      <c r="A42" s="471"/>
      <c r="B42" s="358"/>
      <c r="C42" s="492" t="s">
        <v>128</v>
      </c>
      <c r="D42" s="233" t="e">
        <f>VLOOKUP(C42,Emissionsfaktoren_Prozesse!$D$4:$E$103,2,FALSE)</f>
        <v>#N/A</v>
      </c>
      <c r="E42" s="486"/>
      <c r="F42" s="487"/>
      <c r="G42" s="487"/>
      <c r="H42" s="491">
        <v>0</v>
      </c>
      <c r="I42" s="358"/>
      <c r="J42" s="358"/>
      <c r="K42" s="471"/>
    </row>
    <row r="43" spans="1:11">
      <c r="A43" s="471"/>
      <c r="B43" s="358"/>
      <c r="C43" s="492" t="s">
        <v>128</v>
      </c>
      <c r="D43" s="233" t="e">
        <f>VLOOKUP(C43,Emissionsfaktoren_Prozesse!$D$4:$E$103,2,FALSE)</f>
        <v>#N/A</v>
      </c>
      <c r="E43" s="486"/>
      <c r="F43" s="487"/>
      <c r="G43" s="487"/>
      <c r="H43" s="491">
        <v>0</v>
      </c>
      <c r="I43" s="358"/>
      <c r="J43" s="358"/>
      <c r="K43" s="471"/>
    </row>
    <row r="44" spans="1:11">
      <c r="A44" s="471"/>
      <c r="B44" s="358"/>
      <c r="C44" s="492" t="s">
        <v>128</v>
      </c>
      <c r="D44" s="233" t="e">
        <f>VLOOKUP(C44,Emissionsfaktoren_Prozesse!$D$4:$E$103,2,FALSE)</f>
        <v>#N/A</v>
      </c>
      <c r="E44" s="486"/>
      <c r="F44" s="487"/>
      <c r="G44" s="487"/>
      <c r="H44" s="491">
        <v>0</v>
      </c>
      <c r="I44" s="358"/>
      <c r="J44" s="358"/>
      <c r="K44" s="471"/>
    </row>
    <row r="45" spans="1:11" ht="15" thickBot="1">
      <c r="A45" s="471"/>
      <c r="B45" s="358"/>
      <c r="C45" s="493"/>
      <c r="D45" s="494"/>
      <c r="E45" s="494"/>
      <c r="F45" s="494"/>
      <c r="G45" s="494"/>
      <c r="H45" s="495"/>
      <c r="I45" s="358"/>
      <c r="J45" s="358"/>
      <c r="K45" s="471"/>
    </row>
    <row r="46" spans="1:11" ht="30" customHeight="1" thickBot="1">
      <c r="A46" s="471"/>
      <c r="B46" s="358"/>
      <c r="C46" s="296" t="s">
        <v>1690</v>
      </c>
      <c r="D46" s="358"/>
      <c r="E46" s="358"/>
      <c r="F46" s="358"/>
      <c r="G46" s="358"/>
      <c r="H46" s="358"/>
      <c r="I46" s="358"/>
      <c r="J46" s="358"/>
      <c r="K46" s="471"/>
    </row>
    <row r="47" spans="1:11">
      <c r="A47" s="471"/>
      <c r="B47" s="358"/>
      <c r="C47" s="295"/>
      <c r="D47" s="479"/>
      <c r="E47" s="479"/>
      <c r="F47" s="479"/>
      <c r="G47" s="293" t="s">
        <v>1914</v>
      </c>
      <c r="H47" s="299">
        <f>SUM(H51,H53,H55,H57,H59)</f>
        <v>0</v>
      </c>
      <c r="I47" s="292" t="s">
        <v>175</v>
      </c>
      <c r="J47" s="358"/>
      <c r="K47" s="471"/>
    </row>
    <row r="48" spans="1:11">
      <c r="A48" s="471"/>
      <c r="B48" s="358"/>
      <c r="C48" s="297"/>
      <c r="D48" s="358"/>
      <c r="E48" s="358"/>
      <c r="F48" s="358"/>
      <c r="G48" s="298" t="s">
        <v>219</v>
      </c>
      <c r="H48" s="300">
        <f>IFERROR(H47/Nutzung!C8,0)</f>
        <v>0</v>
      </c>
      <c r="I48" s="292" t="s">
        <v>175</v>
      </c>
      <c r="J48" s="358"/>
      <c r="K48" s="471"/>
    </row>
    <row r="49" spans="1:11">
      <c r="A49" s="471"/>
      <c r="B49" s="358"/>
      <c r="C49" s="481"/>
      <c r="D49" s="358"/>
      <c r="E49" s="358"/>
      <c r="F49" s="358"/>
      <c r="G49" s="358"/>
      <c r="H49" s="121"/>
      <c r="I49" s="358"/>
      <c r="J49" s="358"/>
      <c r="K49" s="471"/>
    </row>
    <row r="50" spans="1:11" ht="42.5" customHeight="1">
      <c r="A50" s="471"/>
      <c r="B50" s="358"/>
      <c r="C50" s="972" t="s">
        <v>220</v>
      </c>
      <c r="D50" s="404" t="s">
        <v>221</v>
      </c>
      <c r="E50" s="358"/>
      <c r="F50" s="1009" t="s">
        <v>1915</v>
      </c>
      <c r="G50" s="358"/>
      <c r="H50" s="122" t="s">
        <v>1916</v>
      </c>
      <c r="I50" s="358"/>
      <c r="J50" s="358"/>
      <c r="K50" s="471"/>
    </row>
    <row r="51" spans="1:11">
      <c r="A51" s="471"/>
      <c r="B51" s="358"/>
      <c r="C51" s="496"/>
      <c r="D51" s="497">
        <v>0</v>
      </c>
      <c r="E51" s="358"/>
      <c r="F51" s="475"/>
      <c r="G51" s="358"/>
      <c r="H51" s="622">
        <f>F51*D51</f>
        <v>0</v>
      </c>
      <c r="I51" s="292" t="s">
        <v>175</v>
      </c>
      <c r="J51" s="358"/>
      <c r="K51" s="471"/>
    </row>
    <row r="52" spans="1:11">
      <c r="A52" s="471"/>
      <c r="B52" s="358"/>
      <c r="C52" s="481"/>
      <c r="D52" s="358"/>
      <c r="E52" s="358"/>
      <c r="F52" s="358"/>
      <c r="G52" s="358"/>
      <c r="H52" s="121"/>
      <c r="I52" s="358"/>
      <c r="J52" s="358"/>
      <c r="K52" s="471"/>
    </row>
    <row r="53" spans="1:11">
      <c r="A53" s="471"/>
      <c r="B53" s="358"/>
      <c r="C53" s="498"/>
      <c r="D53" s="497">
        <v>0</v>
      </c>
      <c r="E53" s="358"/>
      <c r="F53" s="475"/>
      <c r="G53" s="358"/>
      <c r="H53" s="622">
        <f>F53*D53</f>
        <v>0</v>
      </c>
      <c r="I53" s="292" t="s">
        <v>175</v>
      </c>
      <c r="J53" s="358"/>
      <c r="K53" s="471"/>
    </row>
    <row r="54" spans="1:11">
      <c r="A54" s="471"/>
      <c r="B54" s="358"/>
      <c r="C54" s="481"/>
      <c r="D54" s="358"/>
      <c r="E54" s="358"/>
      <c r="F54" s="358"/>
      <c r="G54" s="358"/>
      <c r="H54" s="121"/>
      <c r="I54" s="358"/>
      <c r="J54" s="358"/>
      <c r="K54" s="471"/>
    </row>
    <row r="55" spans="1:11">
      <c r="A55" s="471"/>
      <c r="B55" s="358"/>
      <c r="C55" s="498"/>
      <c r="D55" s="497">
        <v>0</v>
      </c>
      <c r="E55" s="358"/>
      <c r="F55" s="475"/>
      <c r="G55" s="358"/>
      <c r="H55" s="622">
        <f>F55*D55</f>
        <v>0</v>
      </c>
      <c r="I55" s="292" t="s">
        <v>175</v>
      </c>
      <c r="J55" s="358"/>
      <c r="K55" s="471"/>
    </row>
    <row r="56" spans="1:11">
      <c r="A56" s="471"/>
      <c r="B56" s="358"/>
      <c r="C56" s="481"/>
      <c r="D56" s="358"/>
      <c r="E56" s="358"/>
      <c r="F56" s="358"/>
      <c r="G56" s="358"/>
      <c r="H56" s="121"/>
      <c r="I56" s="358"/>
      <c r="J56" s="358"/>
      <c r="K56" s="471"/>
    </row>
    <row r="57" spans="1:11">
      <c r="A57" s="471"/>
      <c r="B57" s="358"/>
      <c r="C57" s="498"/>
      <c r="D57" s="497">
        <v>0</v>
      </c>
      <c r="E57" s="358"/>
      <c r="F57" s="475"/>
      <c r="G57" s="358"/>
      <c r="H57" s="622">
        <f>F57*D57</f>
        <v>0</v>
      </c>
      <c r="I57" s="292" t="s">
        <v>175</v>
      </c>
      <c r="J57" s="358"/>
      <c r="K57" s="471"/>
    </row>
    <row r="58" spans="1:11">
      <c r="A58" s="471"/>
      <c r="B58" s="358"/>
      <c r="C58" s="481"/>
      <c r="D58" s="358"/>
      <c r="E58" s="358"/>
      <c r="F58" s="358"/>
      <c r="G58" s="358"/>
      <c r="H58" s="121"/>
      <c r="I58" s="358"/>
      <c r="J58" s="358"/>
      <c r="K58" s="471"/>
    </row>
    <row r="59" spans="1:11">
      <c r="A59" s="471"/>
      <c r="B59" s="358"/>
      <c r="C59" s="498"/>
      <c r="D59" s="497">
        <v>0</v>
      </c>
      <c r="E59" s="358"/>
      <c r="F59" s="475"/>
      <c r="G59" s="358"/>
      <c r="H59" s="622">
        <f>F59*D59</f>
        <v>0</v>
      </c>
      <c r="I59" s="292" t="s">
        <v>175</v>
      </c>
      <c r="J59" s="358"/>
      <c r="K59" s="471"/>
    </row>
    <row r="60" spans="1:11" ht="15" thickBot="1">
      <c r="A60" s="471"/>
      <c r="B60" s="358"/>
      <c r="C60" s="493"/>
      <c r="D60" s="494"/>
      <c r="E60" s="494"/>
      <c r="F60" s="494"/>
      <c r="G60" s="494"/>
      <c r="H60" s="123"/>
      <c r="I60" s="358"/>
      <c r="J60" s="358"/>
      <c r="K60" s="471"/>
    </row>
    <row r="61" spans="1:11" ht="30" customHeight="1" thickBot="1">
      <c r="A61" s="471"/>
      <c r="B61" s="358"/>
      <c r="C61" s="296" t="s">
        <v>1691</v>
      </c>
      <c r="D61" s="483"/>
      <c r="E61" s="483"/>
      <c r="F61" s="483"/>
      <c r="G61" s="358"/>
      <c r="H61" s="62"/>
      <c r="I61" s="358"/>
      <c r="J61" s="358"/>
      <c r="K61" s="471"/>
    </row>
    <row r="62" spans="1:11">
      <c r="A62" s="471"/>
      <c r="B62" s="358"/>
      <c r="C62" s="295"/>
      <c r="D62" s="479"/>
      <c r="E62" s="479"/>
      <c r="F62" s="479"/>
      <c r="G62" s="293" t="s">
        <v>1917</v>
      </c>
      <c r="H62" s="299">
        <f>SUM(H66,H68,H70,H72,H74)</f>
        <v>512.09999999999991</v>
      </c>
      <c r="I62" s="292" t="s">
        <v>175</v>
      </c>
      <c r="J62" s="358"/>
      <c r="K62" s="471"/>
    </row>
    <row r="63" spans="1:11">
      <c r="A63" s="471"/>
      <c r="B63" s="358"/>
      <c r="C63" s="297"/>
      <c r="D63" s="358"/>
      <c r="E63" s="358"/>
      <c r="F63" s="358"/>
      <c r="G63" s="298" t="s">
        <v>222</v>
      </c>
      <c r="H63" s="300">
        <f>IFERROR(H62/Nutzung!C8,0)</f>
        <v>51.209999999999994</v>
      </c>
      <c r="I63" s="292" t="s">
        <v>175</v>
      </c>
      <c r="J63" s="358"/>
      <c r="K63" s="471"/>
    </row>
    <row r="64" spans="1:11">
      <c r="A64" s="471"/>
      <c r="B64" s="358"/>
      <c r="C64" s="481"/>
      <c r="D64" s="358"/>
      <c r="E64" s="358"/>
      <c r="F64" s="358"/>
      <c r="G64" s="358"/>
      <c r="H64" s="121"/>
      <c r="I64" s="358"/>
      <c r="J64" s="358"/>
      <c r="K64" s="471"/>
    </row>
    <row r="65" spans="1:11" ht="42.5" customHeight="1">
      <c r="A65" s="471"/>
      <c r="B65" s="358"/>
      <c r="C65" s="481" t="s">
        <v>223</v>
      </c>
      <c r="D65" s="404" t="s">
        <v>221</v>
      </c>
      <c r="E65" s="358"/>
      <c r="F65" s="1009" t="s">
        <v>1915</v>
      </c>
      <c r="G65" s="358"/>
      <c r="H65" s="122" t="s">
        <v>1916</v>
      </c>
      <c r="I65" s="358"/>
      <c r="J65" s="358"/>
      <c r="K65" s="471"/>
    </row>
    <row r="66" spans="1:11" ht="43.5">
      <c r="A66" s="471"/>
      <c r="B66" s="358"/>
      <c r="C66" s="1020" t="s">
        <v>1934</v>
      </c>
      <c r="D66" s="497">
        <f>94.6+76.1</f>
        <v>170.7</v>
      </c>
      <c r="E66" s="358"/>
      <c r="F66" s="475">
        <v>3</v>
      </c>
      <c r="G66" s="358"/>
      <c r="H66" s="622">
        <f>F66*D66</f>
        <v>512.09999999999991</v>
      </c>
      <c r="I66" s="292" t="s">
        <v>175</v>
      </c>
      <c r="J66" s="358"/>
      <c r="K66" s="471"/>
    </row>
    <row r="67" spans="1:11">
      <c r="A67" s="471"/>
      <c r="B67" s="358"/>
      <c r="C67" s="481"/>
      <c r="D67" s="358"/>
      <c r="E67" s="358"/>
      <c r="F67" s="358"/>
      <c r="G67" s="358"/>
      <c r="H67" s="121"/>
      <c r="I67" s="358"/>
      <c r="J67" s="358"/>
      <c r="K67" s="471"/>
    </row>
    <row r="68" spans="1:11">
      <c r="A68" s="471"/>
      <c r="B68" s="358"/>
      <c r="C68" s="498"/>
      <c r="D68" s="497">
        <v>0</v>
      </c>
      <c r="E68" s="358"/>
      <c r="F68" s="475"/>
      <c r="G68" s="358"/>
      <c r="H68" s="622">
        <f>F68*D68</f>
        <v>0</v>
      </c>
      <c r="I68" s="292" t="s">
        <v>175</v>
      </c>
      <c r="J68" s="358"/>
      <c r="K68" s="471"/>
    </row>
    <row r="69" spans="1:11">
      <c r="A69" s="471"/>
      <c r="B69" s="358"/>
      <c r="C69" s="481"/>
      <c r="D69" s="358"/>
      <c r="E69" s="358"/>
      <c r="F69" s="358"/>
      <c r="G69" s="358"/>
      <c r="H69" s="121"/>
      <c r="I69" s="358"/>
      <c r="J69" s="358"/>
      <c r="K69" s="471"/>
    </row>
    <row r="70" spans="1:11">
      <c r="A70" s="471"/>
      <c r="B70" s="358"/>
      <c r="C70" s="498"/>
      <c r="D70" s="497">
        <v>0</v>
      </c>
      <c r="E70" s="358"/>
      <c r="F70" s="475"/>
      <c r="G70" s="358"/>
      <c r="H70" s="622">
        <f>F70*D70</f>
        <v>0</v>
      </c>
      <c r="I70" s="292" t="s">
        <v>175</v>
      </c>
      <c r="J70" s="358"/>
      <c r="K70" s="471"/>
    </row>
    <row r="71" spans="1:11">
      <c r="A71" s="471"/>
      <c r="B71" s="358"/>
      <c r="C71" s="481"/>
      <c r="D71" s="358"/>
      <c r="E71" s="358"/>
      <c r="F71" s="358"/>
      <c r="G71" s="358"/>
      <c r="H71" s="121"/>
      <c r="I71" s="358"/>
      <c r="J71" s="358"/>
      <c r="K71" s="471"/>
    </row>
    <row r="72" spans="1:11">
      <c r="A72" s="471"/>
      <c r="B72" s="358"/>
      <c r="C72" s="498"/>
      <c r="D72" s="497">
        <v>0</v>
      </c>
      <c r="E72" s="358"/>
      <c r="F72" s="475"/>
      <c r="G72" s="358"/>
      <c r="H72" s="622">
        <f>F72*D72</f>
        <v>0</v>
      </c>
      <c r="I72" s="292" t="s">
        <v>175</v>
      </c>
      <c r="J72" s="358"/>
      <c r="K72" s="471"/>
    </row>
    <row r="73" spans="1:11">
      <c r="A73" s="471"/>
      <c r="B73" s="358"/>
      <c r="C73" s="481"/>
      <c r="D73" s="358"/>
      <c r="E73" s="358"/>
      <c r="F73" s="358"/>
      <c r="G73" s="358"/>
      <c r="H73" s="121"/>
      <c r="I73" s="358"/>
      <c r="J73" s="358"/>
      <c r="K73" s="471"/>
    </row>
    <row r="74" spans="1:11">
      <c r="A74" s="471"/>
      <c r="B74" s="358"/>
      <c r="C74" s="498"/>
      <c r="D74" s="497">
        <v>0</v>
      </c>
      <c r="E74" s="358"/>
      <c r="F74" s="475"/>
      <c r="G74" s="358"/>
      <c r="H74" s="622">
        <f>F74*D74</f>
        <v>0</v>
      </c>
      <c r="I74" s="292" t="s">
        <v>175</v>
      </c>
      <c r="J74" s="358"/>
      <c r="K74" s="471"/>
    </row>
    <row r="75" spans="1:11" ht="15" thickBot="1">
      <c r="A75" s="471"/>
      <c r="B75" s="358"/>
      <c r="C75" s="493"/>
      <c r="D75" s="494"/>
      <c r="E75" s="494"/>
      <c r="F75" s="494"/>
      <c r="G75" s="494"/>
      <c r="H75" s="123"/>
      <c r="I75" s="358"/>
      <c r="J75" s="358"/>
      <c r="K75" s="471"/>
    </row>
    <row r="76" spans="1:11">
      <c r="A76" s="471"/>
      <c r="B76" s="358"/>
      <c r="C76" s="358"/>
      <c r="D76" s="358"/>
      <c r="E76" s="358"/>
      <c r="F76" s="358"/>
      <c r="G76" s="358"/>
      <c r="H76" s="358"/>
      <c r="I76" s="358"/>
      <c r="J76" s="358"/>
      <c r="K76" s="471"/>
    </row>
    <row r="77" spans="1:11">
      <c r="A77" s="471"/>
      <c r="B77" s="471"/>
      <c r="C77" s="471"/>
      <c r="D77" s="471"/>
      <c r="E77" s="471"/>
      <c r="F77" s="471"/>
      <c r="G77" s="471"/>
      <c r="H77" s="471"/>
      <c r="I77" s="471"/>
      <c r="J77" s="471"/>
      <c r="K77" s="471"/>
    </row>
  </sheetData>
  <hyperlinks>
    <hyperlink ref="L3" location="'Aufbau LCC-CO2-Tool'!A1" display="zurück zur Übersicht" xr:uid="{E3BBA789-B438-4FC2-B600-6139D2828558}"/>
    <hyperlink ref="L4" location="'Anleitung für Beschaffende'!A16" display="zurück zur Anleitung für Beschaffende " xr:uid="{5DD674E3-37DA-4A31-BC7B-41FE353C5E38}"/>
    <hyperlink ref="L5" location="'Anleitung für Bietende'!A12" display="zurück zur Anleitung für Bietende" xr:uid="{8EA8ACC9-3D03-4C9F-8B8E-C7A7867045F9}"/>
  </hyperlinks>
  <pageMargins left="0.70866141732283472" right="0.70866141732283472" top="0.78740157480314965" bottom="0.78740157480314965" header="0.31496062992125984" footer="0.31496062992125984"/>
  <pageSetup paperSize="9" scale="59" orientation="portrait" r:id="rId1"/>
  <headerFooter>
    <oddHeader>&amp;C&amp;14&amp;KFF0000TESTVERSION!</oddHeader>
    <oddFooter>&amp;L&amp;8&amp;K000000LCC-CO2-Tool - Arbeitshilfe des Umweltbundesamtes&amp;C&amp;8Berechnung der laufenden Kosten&amp;R&amp;8&amp;P</oddFooter>
  </headerFooter>
  <ignoredErrors>
    <ignoredError sqref="D42:D44" evalError="1"/>
    <ignoredError sqref="D66"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F562981-8EE1-4026-A5C3-3CECD11663A0}">
          <x14:formula1>
            <xm:f>Emissionsfaktoren_Prozesse!$D$3:$D$103</xm:f>
          </x14:formula1>
          <xm:sqref>C42:C44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no' ?><Relationships xmlns="http://schemas.openxmlformats.org/package/2006/relationships"><Relationship Id="rId1" Type="http://schemas.openxmlformats.org/officeDocument/2006/relationships/customXmlProps" Target="itemProps4.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D1970B24A506C4DA5D4D90903144628" ma:contentTypeVersion="9" ma:contentTypeDescription="Ein neues Dokument erstellen." ma:contentTypeScope="" ma:versionID="35f35e89580563c733f33e4c0070c1b6">
  <xsd:schema xmlns:xsd="http://www.w3.org/2001/XMLSchema" xmlns:xs="http://www.w3.org/2001/XMLSchema" xmlns:p="http://schemas.microsoft.com/office/2006/metadata/properties" xmlns:ns2="a6bdc560-5789-497d-9653-e28721e9346e" xmlns:ns3="dff3f651-13f3-40a9-9001-49bfb28c33b0" targetNamespace="http://schemas.microsoft.com/office/2006/metadata/properties" ma:root="true" ma:fieldsID="50b3f65a76a862fc3f6b8173a8417ea4" ns2:_="" ns3:_="">
    <xsd:import namespace="a6bdc560-5789-497d-9653-e28721e9346e"/>
    <xsd:import namespace="dff3f651-13f3-40a9-9001-49bfb28c33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dc560-5789-497d-9653-e28721e93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f3f651-13f3-40a9-9001-49bfb28c33b0"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f:fields xmlns:f="http://schemas.fabasoft.com/folio/2007/fields" catsources="">
  <f:record>
    <f:field ref="BDBCFG_15_1700_FieldBDBSignatures" text="Bearbeitet - Litschko, Benjamin - Mitarbeiter*in III 1.3 (Fachgebiet III 1.3 - Ökodesign, Umweltkennzeichnung, umweltfreundliche Beschaffung) -  - 03.06.2025&#13;&#10;Mitgezeichnet - Schmidt, Holger - Mitarbeiter*in Z 2.4 (Sachgebiet Fachbibliothek Umwelt) -  - 06.06.2025&#13;&#10;Mitgezeichnet - Stallmann, Martin - Mitarbeiter*in PB 2 (Referat Presse- und Öffentlichkeitsarbeit, Internet) - Layout freigegeben - 10.06.2025&#13;&#10;Information erhalten - Stechemesser, Kristin - Mitarbeiter*in III 1.3 (Fachgebiet III 1.3 - Ökodesign, Umweltkennzeichnung, umweltfreundliche Beschaffung) -  - 11.06.2025&#13;&#10;Mitgezeichnet - Wurbs, Johanna - Leitung III 1.3 (Fachgebiet III 1.3 - Ökodesign, Umweltkennzeichnung, umweltfreundliche Beschaffung) -  - 11.06.2025&#13;&#10;Mitgezeichnet - Janz, Alexander - Leitung III 1 (Abteilung III 1 - Nachhaltige Produkte und nachhaltiger Konsum, Kreislaufwirtschaft) -  - 12.06.2025&#13;&#10;Mitgezeichnet - Rechenberg, Bettina - Leitung FB III (Fachbereich Nachhaltige Produktion und Produkte, Kreislaufwirtschaft) -  - 12.06.2025&#13;&#10;Mitgezeichnet - Ittershagen, Martin - Leitung PB 2 (Referat Presse- und Öffentlichkeitsarbeit, Internet) -  - 13.06.2025" multiline="true"/>
    <f:field ref="objname" text="Schulungsskript_LCC-CO2-Tool_v5_100-Notebooks_3-Jahre" edit="true"/>
  </f:record>
  <f:display text="Allgemein">
    <f:field ref="BDBCFG_15_1700_FieldBDBSignatures" text="Zeichnungsleiste chronologisch Zeichnungen (Datum der Zeichnung)"/>
    <f:field ref="objname" text="Name"/>
  </f:display>
</f:fields>
</file>

<file path=customXml/itemProps1.xml><?xml version="1.0" encoding="utf-8"?>
<ds:datastoreItem xmlns:ds="http://schemas.openxmlformats.org/officeDocument/2006/customXml" ds:itemID="{0585ACA4-77E7-463C-9DFD-9F4885C98451}">
  <ds:schemaRefs>
    <ds:schemaRef ds:uri="http://schemas.microsoft.com/sharepoint/v3/contenttype/forms"/>
  </ds:schemaRefs>
</ds:datastoreItem>
</file>

<file path=customXml/itemProps2.xml><?xml version="1.0" encoding="utf-8"?>
<ds:datastoreItem xmlns:ds="http://schemas.openxmlformats.org/officeDocument/2006/customXml" ds:itemID="{134C193B-199B-488A-9C31-9D5839772C97}">
  <ds:schemaRefs>
    <ds:schemaRef ds:uri="http://schemas.microsoft.com/office/2006/metadata/properties"/>
    <ds:schemaRef ds:uri="a6bdc560-5789-497d-9653-e28721e9346e"/>
    <ds:schemaRef ds:uri="http://purl.org/dc/terms/"/>
    <ds:schemaRef ds:uri="http://www.w3.org/XML/1998/namespace"/>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dff3f651-13f3-40a9-9001-49bfb28c33b0"/>
  </ds:schemaRefs>
</ds:datastoreItem>
</file>

<file path=customXml/itemProps3.xml><?xml version="1.0" encoding="utf-8"?>
<ds:datastoreItem xmlns:ds="http://schemas.openxmlformats.org/officeDocument/2006/customXml" ds:itemID="{201F3FC3-C8F9-45ED-AF64-285D83DE6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dc560-5789-497d-9653-e28721e9346e"/>
    <ds:schemaRef ds:uri="dff3f651-13f3-40a9-9001-49bfb28c33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15</vt:i4>
      </vt:variant>
    </vt:vector>
  </HeadingPairs>
  <TitlesOfParts>
    <vt:vector size="36" baseType="lpstr">
      <vt:lpstr>Aufbau LCC-CO2-Tool</vt:lpstr>
      <vt:lpstr>Anleitung für Beschaffende</vt:lpstr>
      <vt:lpstr>Anleitung für Bietende</vt:lpstr>
      <vt:lpstr>alt_Anleitung für Bietende</vt:lpstr>
      <vt:lpstr>Punktevergabe Übersicht</vt:lpstr>
      <vt:lpstr>Punktevergabe Details</vt:lpstr>
      <vt:lpstr>Einmalkosten</vt:lpstr>
      <vt:lpstr>Transport+Installationskosten</vt:lpstr>
      <vt:lpstr>Laufende Kosten</vt:lpstr>
      <vt:lpstr>Investitionsrechnung</vt:lpstr>
      <vt:lpstr>THG-Emissionen mit Zertifikat</vt:lpstr>
      <vt:lpstr>Ergebnis LCC inkl. CO2-Kosten</vt:lpstr>
      <vt:lpstr>THG-Emissionen ohne Zertifikat</vt:lpstr>
      <vt:lpstr>Ergebnis LCC ohne CO2-Kosten</vt:lpstr>
      <vt:lpstr>Produktion</vt:lpstr>
      <vt:lpstr>Transport + Installation</vt:lpstr>
      <vt:lpstr>Nutzung</vt:lpstr>
      <vt:lpstr>Emissionsfaktoren_Stoffe</vt:lpstr>
      <vt:lpstr>Emissionsfaktoren_Prozesse</vt:lpstr>
      <vt:lpstr>Emissionsfaktoren_Lebenszyklus</vt:lpstr>
      <vt:lpstr>Impressum</vt:lpstr>
      <vt:lpstr>'alt_Anleitung für Bietende'!Druckbereich</vt:lpstr>
      <vt:lpstr>'Anleitung für Beschaffende'!Druckbereich</vt:lpstr>
      <vt:lpstr>'Anleitung für Bietende'!Druckbereich</vt:lpstr>
      <vt:lpstr>'Aufbau LCC-CO2-Tool'!Druckbereich</vt:lpstr>
      <vt:lpstr>Einmalkosten!Druckbereich</vt:lpstr>
      <vt:lpstr>'Ergebnis LCC inkl. CO2-Kosten'!Druckbereich</vt:lpstr>
      <vt:lpstr>'Ergebnis LCC ohne CO2-Kosten'!Druckbereich</vt:lpstr>
      <vt:lpstr>Impressum!Druckbereich</vt:lpstr>
      <vt:lpstr>Investitionsrechnung!Druckbereich</vt:lpstr>
      <vt:lpstr>'Laufende Kosten'!Druckbereich</vt:lpstr>
      <vt:lpstr>'Punktevergabe Details'!Druckbereich</vt:lpstr>
      <vt:lpstr>'Punktevergabe Übersicht'!Druckbereich</vt:lpstr>
      <vt:lpstr>'THG-Emissionen mit Zertifikat'!Druckbereich</vt:lpstr>
      <vt:lpstr>'THG-Emissionen ohne Zertifikat'!Druckbereich</vt:lpstr>
      <vt:lpstr>'Transport+Installationskosten'!Druckbereich</vt:lpstr>
    </vt:vector>
  </TitlesOfParts>
  <Manager/>
  <Company>Öko-Institut, im Auftrag des Umweltbundesamtes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K.Graulich@oeko.de;L.Gascon@oeko.de</dc:creator>
  <cp:keywords/>
  <dc:description/>
  <cp:lastModifiedBy>Kathrin Graulich</cp:lastModifiedBy>
  <cp:revision/>
  <cp:lastPrinted>2024-11-07T22:55:14Z</cp:lastPrinted>
  <dcterms:created xsi:type="dcterms:W3CDTF">2020-07-07T08:25:36Z</dcterms:created>
  <dcterms:modified xsi:type="dcterms:W3CDTF">2025-02-21T02:26:32Z</dcterms:modified>
  <cp:category/>
  <cp:contentStatus/>
</cp:coreProperties>
</file>

<file path=docProps/custom.xml><?xml version="1.0" encoding="utf-8"?>
<Properties xmlns="http://schemas.openxmlformats.org/officeDocument/2006/custom-properties" xmlns:vt="http://schemas.openxmlformats.org/officeDocument/2006/docPropsVTypes">
  <property name="ContentTypeId" pid="2" fmtid="{D5CDD505-2E9C-101B-9397-08002B2CF9AE}">
    <vt:lpwstr>0x0101006D1970B24A506C4DA5D4D90903144628</vt:lpwstr>
  </property>
  <property name="MSIP_Label_0cda0c22-3e77-43b9-8faf-0bad2baf7893_Enabled" pid="3" fmtid="{D5CDD505-2E9C-101B-9397-08002B2CF9AE}">
    <vt:lpwstr>true</vt:lpwstr>
  </property>
  <property name="MSIP_Label_0cda0c22-3e77-43b9-8faf-0bad2baf7893_SetDate" pid="4" fmtid="{D5CDD505-2E9C-101B-9397-08002B2CF9AE}">
    <vt:lpwstr>2021-10-05T06:22:50Z</vt:lpwstr>
  </property>
  <property name="MSIP_Label_0cda0c22-3e77-43b9-8faf-0bad2baf7893_Method" pid="5" fmtid="{D5CDD505-2E9C-101B-9397-08002B2CF9AE}">
    <vt:lpwstr>Standard</vt:lpwstr>
  </property>
  <property name="MSIP_Label_0cda0c22-3e77-43b9-8faf-0bad2baf7893_Name" pid="6" fmtid="{D5CDD505-2E9C-101B-9397-08002B2CF9AE}">
    <vt:lpwstr>TLP gelb</vt:lpwstr>
  </property>
  <property name="MSIP_Label_0cda0c22-3e77-43b9-8faf-0bad2baf7893_SiteId" pid="7" fmtid="{D5CDD505-2E9C-101B-9397-08002B2CF9AE}">
    <vt:lpwstr>085c0b65-6a84-4006-851e-5faa7ec5367e</vt:lpwstr>
  </property>
  <property name="MSIP_Label_0cda0c22-3e77-43b9-8faf-0bad2baf7893_ActionId" pid="8" fmtid="{D5CDD505-2E9C-101B-9397-08002B2CF9AE}">
    <vt:lpwstr>9c9eb3cd-de28-4668-a34c-c5ce6aaf3c72</vt:lpwstr>
  </property>
  <property name="MSIP_Label_0cda0c22-3e77-43b9-8faf-0bad2baf7893_ContentBits" pid="9" fmtid="{D5CDD505-2E9C-101B-9397-08002B2CF9AE}">
    <vt:lpwstr>2</vt:lpwstr>
  </property>
  <property name="MediaServiceImageTags" pid="10" fmtid="{D5CDD505-2E9C-101B-9397-08002B2CF9AE}">
    <vt:lpwstr/>
  </property>
  <property name="FSC#BDBCFG@15.1700:InchargeUser" pid="11" fmtid="{D5CDD505-2E9C-101B-9397-08002B2CF9AE}">
    <vt:lpwstr>Litschko, Benjamin</vt:lpwstr>
  </property>
  <property name="FSC#BDBCFG@15.1700:InchargeOrganisation" pid="12" fmtid="{D5CDD505-2E9C-101B-9397-08002B2CF9AE}">
    <vt:lpwstr>III 1.3 (Fachgebiet III 1.3 - Ökodesign, Umweltkennzeichnung, umweltfreundliche Beschaffung)</vt:lpwstr>
  </property>
  <property name="FSC#BDBCFG@15.1700:InchargePosition" pid="13" fmtid="{D5CDD505-2E9C-101B-9397-08002B2CF9AE}">
    <vt:lpwstr>Mitarbeiter*in</vt:lpwstr>
  </property>
  <property name="FSC#BDBCFG@15.1700:VS-NfD" pid="14" fmtid="{D5CDD505-2E9C-101B-9397-08002B2CF9AE}">
    <vt:lpwstr/>
  </property>
  <property name="FSC#BDBCFG@15.1700:dpaddrdate" pid="15" fmtid="{D5CDD505-2E9C-101B-9397-08002B2CF9AE}">
    <vt:lpwstr/>
  </property>
  <property name="FSC#BDBCFG@15.1700:SignApprobationBy" pid="16" fmtid="{D5CDD505-2E9C-101B-9397-08002B2CF9AE}">
    <vt:lpwstr/>
  </property>
  <property name="FSC#BDBCFG@15.1700:SignApprobationAt" pid="17" fmtid="{D5CDD505-2E9C-101B-9397-08002B2CF9AE}">
    <vt:lpwstr/>
  </property>
  <property name="FSC#BDBCFG@15.1700:SignApprobationByRole" pid="18" fmtid="{D5CDD505-2E9C-101B-9397-08002B2CF9AE}">
    <vt:lpwstr/>
  </property>
  <property name="FSC#BDBCFG@15.1700:SignApprobationByGroup" pid="19" fmtid="{D5CDD505-2E9C-101B-9397-08002B2CF9AE}">
    <vt:lpwstr/>
  </property>
  <property name="FSC#BDBCFG@15.1700:ProcRespOrgShort" pid="20" fmtid="{D5CDD505-2E9C-101B-9397-08002B2CF9AE}">
    <vt:lpwstr>III 1.3</vt:lpwstr>
  </property>
  <property name="FSC#COOELAK@1.1001:Subject" pid="21" fmtid="{D5CDD505-2E9C-101B-9397-08002B2CF9AE}">
    <vt:lpwstr/>
  </property>
  <property name="FSC#COOELAK@1.1001:FileReference" pid="22" fmtid="{D5CDD505-2E9C-101B-9397-08002B2CF9AE}">
    <vt:lpwstr>39 410/00039</vt:lpwstr>
  </property>
  <property name="FSC#COOELAK@1.1001:FileRefOU" pid="23" fmtid="{D5CDD505-2E9C-101B-9397-08002B2CF9AE}">
    <vt:lpwstr>III 1.3</vt:lpwstr>
  </property>
  <property name="FSC#COOELAK@1.1001:Owner" pid="24" fmtid="{D5CDD505-2E9C-101B-9397-08002B2CF9AE}">
    <vt:lpwstr>Litschko, Benjamin</vt:lpwstr>
  </property>
  <property name="FSC#COOELAK@1.1001:OwnerExtension" pid="25" fmtid="{D5CDD505-2E9C-101B-9397-08002B2CF9AE}">
    <vt:lpwstr/>
  </property>
  <property name="FSC#COOELAK@1.1001:OwnerFaxExtension" pid="26" fmtid="{D5CDD505-2E9C-101B-9397-08002B2CF9AE}">
    <vt:lpwstr/>
  </property>
  <property name="FSC#COOELAK@1.1001:DispatchedBy" pid="27" fmtid="{D5CDD505-2E9C-101B-9397-08002B2CF9AE}">
    <vt:lpwstr/>
  </property>
  <property name="FSC#COOELAK@1.1001:DispatchedAt" pid="28" fmtid="{D5CDD505-2E9C-101B-9397-08002B2CF9AE}">
    <vt:lpwstr/>
  </property>
  <property name="FSC#COOELAK@1.1001:CreatedAt" pid="29" fmtid="{D5CDD505-2E9C-101B-9397-08002B2CF9AE}">
    <vt:lpwstr>28.05.2025</vt:lpwstr>
  </property>
  <property name="FSC#COOELAK@1.1001:OU" pid="30" fmtid="{D5CDD505-2E9C-101B-9397-08002B2CF9AE}">
    <vt:lpwstr>III 1.3 (Fachgebiet III 1.3 - Ökodesign, Umweltkennzeichnung, umweltfreundliche Beschaffung)</vt:lpwstr>
  </property>
  <property name="FSC#COOELAK@1.1001:ObjBarCode" pid="31" fmtid="{D5CDD505-2E9C-101B-9397-08002B2CF9AE}">
    <vt:lpwstr>*COO.7174.100.4.1971419*</vt:lpwstr>
  </property>
  <property name="FSC#COOELAK@1.1001:RefBarCode" pid="32" fmtid="{D5CDD505-2E9C-101B-9397-08002B2CF9AE}">
    <vt:lpwstr>*COO.7174.100.4.1971420*</vt:lpwstr>
  </property>
  <property name="FSC#COOELAK@1.1001:FileRefBarCode" pid="33" fmtid="{D5CDD505-2E9C-101B-9397-08002B2CF9AE}">
    <vt:lpwstr>*39 410/00039*</vt:lpwstr>
  </property>
  <property name="FSC#COOELAK@1.1001:ExternalRef" pid="34" fmtid="{D5CDD505-2E9C-101B-9397-08002B2CF9AE}">
    <vt:lpwstr/>
  </property>
  <property name="FSC#COOELAK@1.1001:CurrentUserRolePos" pid="35" fmtid="{D5CDD505-2E9C-101B-9397-08002B2CF9AE}">
    <vt:lpwstr>Mitarbeiter*in</vt:lpwstr>
  </property>
  <property name="FSC#COOELAK@1.1001:CurrentUserEmail" pid="36" fmtid="{D5CDD505-2E9C-101B-9397-08002B2CF9AE}">
    <vt:lpwstr>martin.stallmann@uba.de</vt:lpwstr>
  </property>
  <property name="FSC#ATSTATECFG@1.1001:Office" pid="37" fmtid="{D5CDD505-2E9C-101B-9397-08002B2CF9AE}">
    <vt:lpwstr/>
  </property>
  <property name="FSC#ATSTATECFG@1.1001:SubfileDate" pid="38" fmtid="{D5CDD505-2E9C-101B-9397-08002B2CF9AE}">
    <vt:lpwstr>28.05.2025</vt:lpwstr>
  </property>
  <property name="FSC#ATSTATECFG@1.1001:SubfileSubject" pid="39" fmtid="{D5CDD505-2E9C-101B-9397-08002B2CF9AE}">
    <vt:lpwstr>Schulungsskript_x005f_LCC-CO2-Tool_x005f_v5_x005f_100-Notebooks_x005f_3-Jahre</vt:lpwstr>
  </property>
  <property name="FSC#ATSTATECFG@1.1001:SubfileReference" pid="40" fmtid="{D5CDD505-2E9C-101B-9397-08002B2CF9AE}">
    <vt:lpwstr>39 410/00039#0015-0006</vt:lpwstr>
  </property>
  <property name="FSC#COOELAK@1.1001:replyreference" pid="41" fmtid="{D5CDD505-2E9C-101B-9397-08002B2CF9AE}">
    <vt:lpwstr/>
  </property>
  <property name="FSC#COOELAK@1.1001:FileRefOULong" pid="42" fmtid="{D5CDD505-2E9C-101B-9397-08002B2CF9AE}">
    <vt:lpwstr>Fachgebiet III 1.3 - Ökodesign, Umweltkennzeichnung, umweltfreundliche Beschaffung</vt:lpwstr>
  </property>
  <property name="FSC#FSCGOVDE@1.1001:ProcedureReference" pid="43" fmtid="{D5CDD505-2E9C-101B-9397-08002B2CF9AE}">
    <vt:lpwstr>39 410/00039#0015</vt:lpwstr>
  </property>
  <property name="FSC#FSCGOVDE@1.1001:FileSubject" pid="44" fmtid="{D5CDD505-2E9C-101B-9397-08002B2CF9AE}">
    <vt:lpwstr/>
  </property>
  <property name="FSC#FSCGOVDE@1.1001:ProcedureSubject" pid="45" fmtid="{D5CDD505-2E9C-101B-9397-08002B2CF9AE}">
    <vt:lpwstr/>
  </property>
  <property name="FSC#FSCGOVDE@1.1001:SignFinalVersionBy" pid="46" fmtid="{D5CDD505-2E9C-101B-9397-08002B2CF9AE}">
    <vt:lpwstr/>
  </property>
  <property name="FSC#FSCGOVDE@1.1001:SignFinalVersionAt" pid="47" fmtid="{D5CDD505-2E9C-101B-9397-08002B2CF9AE}">
    <vt:lpwstr/>
  </property>
  <property name="FSC#FSCGOVDE@1.1001:ProcedureRefBarCode" pid="48" fmtid="{D5CDD505-2E9C-101B-9397-08002B2CF9AE}">
    <vt:lpwstr>39 410/00039#0015</vt:lpwstr>
  </property>
  <property name="FSC#FSCGOVDE@1.1001:DocumentSubj" pid="49" fmtid="{D5CDD505-2E9C-101B-9397-08002B2CF9AE}">
    <vt:lpwstr>Schulungsskript_x005f_LCC-CO2-Tool_x005f_v5_x005f_100-Notebooks_x005f_3-Jahre</vt:lpwstr>
  </property>
  <property name="FSC#DEPRECONFIG@15.1001:DocumentTitle" pid="50" fmtid="{D5CDD505-2E9C-101B-9397-08002B2CF9AE}">
    <vt:lpwstr>Schulungsskript_x005f_LCC-CO2-Tool_x005f_v5_x005f_100-Notebooks_x005f_3-Jahre</vt:lpwstr>
  </property>
  <property name="FSC#DEPRECONFIG@15.1001:ProcedureTitle" pid="51" fmtid="{D5CDD505-2E9C-101B-9397-08002B2CF9AE}">
    <vt:lpwstr>Umweltfreundliche Beschaffung - Schulungsskript 2: Arbeitshilfe zur Berechnung von Lebenszykluskosten inklusive CO2-Kosten aufgrund der prognostizierten Treibhausgasemissionen in der öffentlichen Beschaffung (LCC-CO2-Tool)</vt:lpwstr>
  </property>
  <property name="FSC#DEPRECONFIG@15.1001:AuthorTitle" pid="52" fmtid="{D5CDD505-2E9C-101B-9397-08002B2CF9AE}">
    <vt:lpwstr/>
  </property>
  <property name="FSC#DEPRECONFIG@15.1001:AuthorSalution" pid="53" fmtid="{D5CDD505-2E9C-101B-9397-08002B2CF9AE}">
    <vt:lpwstr/>
  </property>
  <property name="FSC#DEPRECONFIG@15.1001:AuthorName" pid="54" fmtid="{D5CDD505-2E9C-101B-9397-08002B2CF9AE}">
    <vt:lpwstr>Benjamin Litschko</vt:lpwstr>
  </property>
  <property name="FSC#DEPRECONFIG@15.1001:AuthorMail" pid="55" fmtid="{D5CDD505-2E9C-101B-9397-08002B2CF9AE}">
    <vt:lpwstr>Benjamin.Litschko@uba.de</vt:lpwstr>
  </property>
  <property name="FSC#DEPRECONFIG@15.1001:AuthorTelephone" pid="56" fmtid="{D5CDD505-2E9C-101B-9397-08002B2CF9AE}">
    <vt:lpwstr/>
  </property>
  <property name="FSC#DEPRECONFIG@15.1001:AuthorFax" pid="57" fmtid="{D5CDD505-2E9C-101B-9397-08002B2CF9AE}">
    <vt:lpwstr/>
  </property>
  <property name="FSC#DEPRECONFIG@15.1001:AuthorOE" pid="58" fmtid="{D5CDD505-2E9C-101B-9397-08002B2CF9AE}">
    <vt:lpwstr>III 1.3 (Fachgebiet III 1.3 - Ökodesign, Umweltkennzeichnung, umweltfreundliche Beschaffung)</vt:lpwstr>
  </property>
</Properties>
</file>