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omments6.xml" ContentType="application/vnd.openxmlformats-officedocument.spreadsheetml.comments+xml"/>
  <Override PartName="/xl/drawings/drawing9.xml" ContentType="application/vnd.openxmlformats-officedocument.drawing+xml"/>
  <Override PartName="/xl/comments7.xml" ContentType="application/vnd.openxmlformats-officedocument.spreadsheetml.comments+xml"/>
  <Override PartName="/xl/drawings/drawing10.xml" ContentType="application/vnd.openxmlformats-officedocument.drawing+xml"/>
  <Override PartName="/xl/comments8.xml" ContentType="application/vnd.openxmlformats-officedocument.spreadsheetml.comments+xml"/>
  <Override PartName="/xl/drawings/drawing11.xml" ContentType="application/vnd.openxmlformats-officedocument.drawing+xml"/>
  <Override PartName="/xl/comments9.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2.xml" ContentType="application/vnd.openxmlformats-officedocument.drawing+xml"/>
  <Override PartName="/xl/comments10.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3.xml" ContentType="application/vnd.openxmlformats-officedocument.drawing+xml"/>
  <Override PartName="/xl/comments11.xml" ContentType="application/vnd.openxmlformats-officedocument.spreadsheetml.comments+xml"/>
  <Override PartName="/xl/drawings/drawing14.xml" ContentType="application/vnd.openxmlformats-officedocument.drawing+xml"/>
  <Override PartName="/xl/comments12.xml" ContentType="application/vnd.openxmlformats-officedocument.spreadsheetml.comments+xml"/>
  <Override PartName="/xl/drawings/drawing15.xml" ContentType="application/vnd.openxmlformats-officedocument.drawing+xml"/>
  <Override PartName="/xl/comments13.xml" ContentType="application/vnd.openxmlformats-officedocument.spreadsheetml.comments+xml"/>
  <Override PartName="/xl/drawings/drawing16.xml" ContentType="application/vnd.openxmlformats-officedocument.drawing+xml"/>
  <Override PartName="/xl/tables/table1.xml" ContentType="application/vnd.openxmlformats-officedocument.spreadsheetml.table+xml"/>
  <Override PartName="/xl/comments14.xml" ContentType="application/vnd.openxmlformats-officedocument.spreadsheetml.comments+xml"/>
  <Override PartName="/xl/drawings/drawing17.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omments15.xml" ContentType="application/vnd.openxmlformats-officedocument.spreadsheetml.comments+xml"/>
  <Override PartName="/xl/drawings/drawing18.xml" ContentType="application/vnd.openxmlformats-officedocument.drawing+xml"/>
  <Override PartName="/xl/tables/table7.xml" ContentType="application/vnd.openxmlformats-officedocument.spreadsheetml.table+xml"/>
  <Override PartName="/xl/comments16.xml" ContentType="application/vnd.openxmlformats-officedocument.spreadsheetml.comments+xml"/>
  <Override PartName="/xl/drawings/drawing1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DieseArbeitsmappe"/>
  <mc:AlternateContent xmlns:mc="http://schemas.openxmlformats.org/markup-compatibility/2006">
    <mc:Choice Requires="x15">
      <x15ac:absPath xmlns:x15ac="http://schemas.microsoft.com/office/spreadsheetml/2010/11/ac" url="\\s1fr\ps-fr\_projekte\3210414_83414_UBA_Beschaffung_KSG_u_KrWG\4_Arbeitspakete\1.4_THG-Emissionen_Berechnungen\Notebooks\LCC-CO2_Testversion_Berechnungen\"/>
    </mc:Choice>
  </mc:AlternateContent>
  <xr:revisionPtr revIDLastSave="0" documentId="13_ncr:1_{405556C8-863B-4121-908F-F04615C238AF}" xr6:coauthVersionLast="47" xr6:coauthVersionMax="47" xr10:uidLastSave="{00000000-0000-0000-0000-000000000000}"/>
  <bookViews>
    <workbookView minimized="1" xWindow="7360" yWindow="2500" windowWidth="6940" windowHeight="3580" tabRatio="897" firstSheet="9" activeTab="13" xr2:uid="{00000000-000D-0000-FFFF-FFFF00000000}"/>
  </bookViews>
  <sheets>
    <sheet name="Aufbau LCC-CO2-Tool" sheetId="25" r:id="rId1"/>
    <sheet name="Anleitung für Beschaffende" sheetId="3" r:id="rId2"/>
    <sheet name="Anleitung für Bietende" sheetId="27" r:id="rId3"/>
    <sheet name="alt_Anleitung für Bietende" sheetId="23" state="hidden" r:id="rId4"/>
    <sheet name="Punktevergabe Übersicht" sheetId="20" r:id="rId5"/>
    <sheet name="Punktevergabe Details" sheetId="21" r:id="rId6"/>
    <sheet name="Einmalkosten" sheetId="14" r:id="rId7"/>
    <sheet name="Transport+Installationskosten" sheetId="18" r:id="rId8"/>
    <sheet name="Laufende Kosten" sheetId="19" r:id="rId9"/>
    <sheet name="Investitionsrechnung" sheetId="22" r:id="rId10"/>
    <sheet name="THG-Emissionen mit Zertifikat" sheetId="2" r:id="rId11"/>
    <sheet name="THG-Emissionen ohne Zertifikat" sheetId="1" r:id="rId12"/>
    <sheet name="Ergebnis LCC ohne CO2-Kosten" sheetId="24" r:id="rId13"/>
    <sheet name="Ergebnis LCC inkl. CO2-Kosten" sheetId="4" r:id="rId14"/>
    <sheet name="Produktion" sheetId="5" r:id="rId15"/>
    <sheet name="Transport + Installation" sheetId="6" r:id="rId16"/>
    <sheet name="Nutzung" sheetId="7" r:id="rId17"/>
    <sheet name="Emissionsfaktoren_Stoffe" sheetId="8" r:id="rId18"/>
    <sheet name="Emissionsfaktoren_Prozesse" sheetId="9" r:id="rId19"/>
    <sheet name="Emissionsfaktoren_Lebenszyklus" sheetId="10" r:id="rId20"/>
    <sheet name="Impressum" sheetId="11" r:id="rId21"/>
  </sheets>
  <definedNames>
    <definedName name="_xlnm._FilterDatabase" localSheetId="18" hidden="1">Emissionsfaktoren_Prozesse!$D$2:$T$29</definedName>
    <definedName name="_xlnm.Print_Area" localSheetId="3">'alt_Anleitung für Bietende'!$B$1:$T$116</definedName>
    <definedName name="_xlnm.Print_Area" localSheetId="1">'Anleitung für Beschaffende'!$A$1:$A$54</definedName>
    <definedName name="_xlnm.Print_Area" localSheetId="2">'Anleitung für Bietende'!$A$1:$A$51</definedName>
    <definedName name="_xlnm.Print_Area" localSheetId="0">'Aufbau LCC-CO2-Tool'!$A$1:$G$22</definedName>
    <definedName name="_xlnm.Print_Area" localSheetId="6">Einmalkosten!$A$1:$I$35</definedName>
    <definedName name="_xlnm.Print_Area" localSheetId="13">'Ergebnis LCC inkl. CO2-Kosten'!$A$1:$R$47</definedName>
    <definedName name="_xlnm.Print_Area" localSheetId="12">'Ergebnis LCC ohne CO2-Kosten'!$A$1:$R$47</definedName>
    <definedName name="_xlnm.Print_Area" localSheetId="20">Impressum!$A$1:$E$11</definedName>
    <definedName name="_xlnm.Print_Area" localSheetId="9">Investitionsrechnung!$A$1:$G$20</definedName>
    <definedName name="_xlnm.Print_Area" localSheetId="8">'Laufende Kosten'!$A$1:$K$77</definedName>
    <definedName name="_xlnm.Print_Area" localSheetId="5">'Punktevergabe Details'!$A$1:$J$35</definedName>
    <definedName name="_xlnm.Print_Area" localSheetId="4">'Punktevergabe Übersicht'!$A$1:$I$44</definedName>
    <definedName name="_xlnm.Print_Area" localSheetId="10">'THG-Emissionen mit Zertifikat'!$A$1:$K$98</definedName>
    <definedName name="_xlnm.Print_Area" localSheetId="11">'THG-Emissionen ohne Zertifikat'!$A$1:$L$127</definedName>
    <definedName name="_xlnm.Print_Area" localSheetId="7">'Transport+Installationskosten'!$A$1:$G$23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6" i="19" l="1"/>
  <c r="G14" i="14"/>
  <c r="G13" i="14"/>
  <c r="G12" i="14"/>
  <c r="G102" i="1"/>
  <c r="F98" i="1"/>
  <c r="G103" i="1" s="1"/>
  <c r="G15" i="14"/>
  <c r="N7" i="24"/>
  <c r="G33" i="20"/>
  <c r="F33" i="20"/>
  <c r="G94" i="2" l="1"/>
  <c r="G92" i="2"/>
  <c r="G90" i="2"/>
  <c r="G88" i="2"/>
  <c r="G86" i="2"/>
  <c r="G84" i="2"/>
  <c r="G82" i="2"/>
  <c r="G80" i="2"/>
  <c r="H123" i="1"/>
  <c r="H121" i="1"/>
  <c r="H119" i="1"/>
  <c r="H117" i="1"/>
  <c r="H115" i="1"/>
  <c r="H113" i="1"/>
  <c r="H111" i="1"/>
  <c r="H109" i="1"/>
  <c r="H89" i="1"/>
  <c r="H87" i="1"/>
  <c r="H85" i="1"/>
  <c r="H83" i="1"/>
  <c r="H81" i="1"/>
  <c r="H79" i="1"/>
  <c r="H77" i="1"/>
  <c r="N6" i="24"/>
  <c r="D6" i="24"/>
  <c r="N7" i="4"/>
  <c r="N6" i="4"/>
  <c r="D6" i="4"/>
  <c r="H8" i="21"/>
  <c r="F7" i="20"/>
  <c r="F32" i="20" l="1"/>
  <c r="G32" i="20"/>
  <c r="H51" i="19"/>
  <c r="H53" i="19"/>
  <c r="H55" i="19"/>
  <c r="H66" i="19"/>
  <c r="E70" i="2"/>
  <c r="F70" i="2"/>
  <c r="F99" i="1"/>
  <c r="G99" i="1"/>
  <c r="G73" i="2" l="1"/>
  <c r="G74" i="2"/>
  <c r="G75" i="2"/>
  <c r="H102" i="1" l="1"/>
  <c r="G61" i="2"/>
  <c r="G53" i="2"/>
  <c r="G55" i="2"/>
  <c r="G57" i="2"/>
  <c r="G59" i="2"/>
  <c r="G51" i="2"/>
  <c r="G49" i="2" l="1"/>
  <c r="E11" i="18"/>
  <c r="G19" i="21"/>
  <c r="G20" i="21"/>
  <c r="G21" i="21"/>
  <c r="G22" i="21"/>
  <c r="G23" i="21"/>
  <c r="G24" i="21"/>
  <c r="G25" i="21"/>
  <c r="G18" i="21"/>
  <c r="G26" i="21" l="1"/>
  <c r="F23" i="20" s="1"/>
  <c r="D14" i="20"/>
  <c r="C26" i="21" s="1"/>
  <c r="C33" i="21" l="1"/>
  <c r="D42" i="19"/>
  <c r="D43" i="19"/>
  <c r="D44" i="19"/>
  <c r="H103" i="1"/>
  <c r="H104" i="1"/>
  <c r="H21" i="1" l="1"/>
  <c r="H16" i="5" l="1"/>
  <c r="M16" i="5" l="1"/>
  <c r="J16" i="5"/>
  <c r="K16" i="5"/>
  <c r="H39" i="1" l="1"/>
  <c r="H37" i="1"/>
  <c r="H35" i="1"/>
  <c r="H33" i="1"/>
  <c r="H31" i="1"/>
  <c r="H29" i="1"/>
  <c r="H27" i="1"/>
  <c r="H25" i="1"/>
  <c r="H23" i="1"/>
  <c r="B107" i="1" l="1"/>
  <c r="B97" i="1"/>
  <c r="B50" i="1"/>
  <c r="B18" i="1"/>
  <c r="B13" i="1"/>
  <c r="D9" i="22" l="1"/>
  <c r="D13" i="20" l="1"/>
  <c r="D20" i="20" s="1"/>
  <c r="D24" i="20" l="1"/>
  <c r="G31" i="21"/>
  <c r="G32" i="21"/>
  <c r="G30" i="21"/>
  <c r="D23" i="20"/>
  <c r="D25" i="20" l="1"/>
  <c r="L28" i="5" l="1"/>
  <c r="H20" i="5" l="1"/>
  <c r="M20" i="5" l="1"/>
  <c r="K20" i="5"/>
  <c r="J20" i="5"/>
  <c r="B78" i="2"/>
  <c r="B42" i="1" l="1"/>
  <c r="I25" i="5"/>
  <c r="I24" i="5"/>
  <c r="H25" i="5"/>
  <c r="H24" i="5"/>
  <c r="M24" i="5" l="1"/>
  <c r="N24" i="5" s="1"/>
  <c r="K24" i="5"/>
  <c r="L24" i="5" s="1"/>
  <c r="K25" i="5"/>
  <c r="L25" i="5" s="1"/>
  <c r="M25" i="5"/>
  <c r="N25" i="5" s="1"/>
  <c r="J25" i="5"/>
  <c r="J24" i="5"/>
  <c r="D13" i="7"/>
  <c r="I23" i="5"/>
  <c r="I22" i="5"/>
  <c r="I21" i="5"/>
  <c r="I20" i="5"/>
  <c r="I19" i="5"/>
  <c r="I18" i="5"/>
  <c r="I17" i="5"/>
  <c r="I16" i="5"/>
  <c r="H23" i="5"/>
  <c r="H22" i="5"/>
  <c r="H21" i="5"/>
  <c r="H19" i="5"/>
  <c r="H18" i="5"/>
  <c r="H17" i="5"/>
  <c r="E17" i="5"/>
  <c r="C11" i="5"/>
  <c r="C10" i="7" l="1"/>
  <c r="C18" i="7"/>
  <c r="M19" i="5"/>
  <c r="N19" i="5" s="1"/>
  <c r="K19" i="5"/>
  <c r="L19" i="5" s="1"/>
  <c r="M21" i="5"/>
  <c r="N21" i="5" s="1"/>
  <c r="K21" i="5"/>
  <c r="L21" i="5" s="1"/>
  <c r="K22" i="5"/>
  <c r="L22" i="5" s="1"/>
  <c r="M22" i="5"/>
  <c r="N22" i="5" s="1"/>
  <c r="M23" i="5"/>
  <c r="N23" i="5" s="1"/>
  <c r="K23" i="5"/>
  <c r="L23" i="5" s="1"/>
  <c r="K18" i="5"/>
  <c r="L18" i="5" s="1"/>
  <c r="M18" i="5"/>
  <c r="N18" i="5" s="1"/>
  <c r="M17" i="5"/>
  <c r="N17" i="5" s="1"/>
  <c r="K17" i="5"/>
  <c r="L17" i="5" s="1"/>
  <c r="N20" i="5"/>
  <c r="L20" i="5"/>
  <c r="J23" i="5"/>
  <c r="J22" i="5"/>
  <c r="J21" i="5"/>
  <c r="J19" i="5"/>
  <c r="J18" i="5"/>
  <c r="J17" i="5"/>
  <c r="L30" i="6"/>
  <c r="F31" i="7"/>
  <c r="E16" i="5"/>
  <c r="L19" i="6"/>
  <c r="M20" i="6"/>
  <c r="M24" i="6"/>
  <c r="C8" i="7"/>
  <c r="D20" i="7"/>
  <c r="C32" i="7"/>
  <c r="F32" i="7"/>
  <c r="L15" i="6"/>
  <c r="M28" i="6"/>
  <c r="M17" i="6"/>
  <c r="D19" i="7"/>
  <c r="C5" i="5"/>
  <c r="L20" i="6"/>
  <c r="L24" i="6"/>
  <c r="M25" i="6"/>
  <c r="C25" i="7"/>
  <c r="F25" i="7"/>
  <c r="D10" i="7"/>
  <c r="G18" i="7" s="1"/>
  <c r="M19" i="6"/>
  <c r="D5" i="5"/>
  <c r="M14" i="6"/>
  <c r="L25" i="6"/>
  <c r="M26" i="6"/>
  <c r="C9" i="7"/>
  <c r="C26" i="7"/>
  <c r="F26" i="7"/>
  <c r="L27" i="6"/>
  <c r="F28" i="7"/>
  <c r="L18" i="6"/>
  <c r="C31" i="7"/>
  <c r="L14" i="6"/>
  <c r="M15" i="6"/>
  <c r="L26" i="6"/>
  <c r="M27" i="6"/>
  <c r="D8" i="7"/>
  <c r="C27" i="7"/>
  <c r="F27" i="7"/>
  <c r="M16" i="6"/>
  <c r="C28" i="7"/>
  <c r="L16" i="6"/>
  <c r="L28" i="6"/>
  <c r="M29" i="6"/>
  <c r="D9" i="7"/>
  <c r="C29" i="7"/>
  <c r="F29" i="7"/>
  <c r="L17" i="6"/>
  <c r="M18" i="6"/>
  <c r="L29" i="6"/>
  <c r="M30" i="6"/>
  <c r="D18" i="7"/>
  <c r="C30" i="7"/>
  <c r="F30" i="7"/>
  <c r="N25" i="6" l="1"/>
  <c r="O25" i="6"/>
  <c r="Q25" i="6"/>
  <c r="N30" i="6"/>
  <c r="Q30" i="6"/>
  <c r="O30" i="6"/>
  <c r="Q24" i="6"/>
  <c r="O24" i="6"/>
  <c r="N24" i="6"/>
  <c r="N27" i="6"/>
  <c r="Q27" i="6"/>
  <c r="O27" i="6"/>
  <c r="N29" i="6"/>
  <c r="Q29" i="6"/>
  <c r="O29" i="6"/>
  <c r="N28" i="6"/>
  <c r="Q28" i="6"/>
  <c r="O28" i="6"/>
  <c r="N26" i="6"/>
  <c r="Q26" i="6"/>
  <c r="O26" i="6"/>
  <c r="H28" i="7"/>
  <c r="G28" i="7"/>
  <c r="G32" i="7"/>
  <c r="H32" i="7"/>
  <c r="H31" i="7"/>
  <c r="G31" i="7"/>
  <c r="H30" i="7"/>
  <c r="G30" i="7"/>
  <c r="G29" i="7"/>
  <c r="H29" i="7"/>
  <c r="H27" i="7"/>
  <c r="G27" i="7"/>
  <c r="H26" i="7"/>
  <c r="G26" i="7"/>
  <c r="H25" i="7"/>
  <c r="G25" i="7"/>
  <c r="F12" i="24"/>
  <c r="F12" i="4"/>
  <c r="E12" i="4"/>
  <c r="E12" i="24"/>
  <c r="E11" i="24"/>
  <c r="N9" i="24" s="1"/>
  <c r="E11" i="4"/>
  <c r="N9" i="4" s="1"/>
  <c r="D10" i="22"/>
  <c r="E10" i="22"/>
  <c r="F11" i="24"/>
  <c r="F11" i="4"/>
  <c r="Q20" i="6"/>
  <c r="O20" i="6"/>
  <c r="N20" i="6"/>
  <c r="Q19" i="6"/>
  <c r="O19" i="6"/>
  <c r="N19" i="6"/>
  <c r="O18" i="6"/>
  <c r="Q18" i="6"/>
  <c r="N18" i="6"/>
  <c r="N17" i="6"/>
  <c r="O17" i="6"/>
  <c r="Q17" i="6"/>
  <c r="N16" i="6"/>
  <c r="O16" i="6"/>
  <c r="Q16" i="6"/>
  <c r="Q15" i="6"/>
  <c r="N15" i="6"/>
  <c r="O15" i="6"/>
  <c r="N14" i="6"/>
  <c r="O14" i="6"/>
  <c r="Q14" i="6"/>
  <c r="L22" i="24" l="1"/>
  <c r="L20" i="24"/>
  <c r="L20" i="4"/>
  <c r="L22" i="4"/>
  <c r="B47" i="2"/>
  <c r="B75" i="1"/>
  <c r="L18" i="24" l="1"/>
  <c r="B68" i="2"/>
  <c r="B30" i="2"/>
  <c r="B22" i="2"/>
  <c r="B13" i="2"/>
  <c r="F3" i="2" l="1"/>
  <c r="B58" i="1"/>
  <c r="G3" i="1" s="1"/>
  <c r="F29" i="21" l="1"/>
  <c r="G29" i="21" s="1"/>
  <c r="G33" i="21" l="1"/>
  <c r="F24" i="20" s="1"/>
  <c r="F25" i="20" s="1"/>
  <c r="H74" i="19"/>
  <c r="H72" i="19"/>
  <c r="H70" i="19"/>
  <c r="H68" i="19"/>
  <c r="G34" i="20" l="1"/>
  <c r="F34" i="20"/>
  <c r="H62" i="19"/>
  <c r="F28" i="20"/>
  <c r="F35" i="20" l="1"/>
  <c r="G35" i="20"/>
  <c r="E37" i="24"/>
  <c r="E37" i="4"/>
  <c r="H63" i="19"/>
  <c r="D16" i="22" s="1"/>
  <c r="H59" i="19"/>
  <c r="H57" i="19"/>
  <c r="F37" i="4" l="1"/>
  <c r="F37" i="24"/>
  <c r="H47" i="19"/>
  <c r="E17" i="18"/>
  <c r="G32" i="14"/>
  <c r="E18" i="24" l="1"/>
  <c r="E18" i="4"/>
  <c r="F42" i="20"/>
  <c r="G42" i="20"/>
  <c r="E35" i="24"/>
  <c r="L6" i="24" s="1"/>
  <c r="G36" i="20" s="1"/>
  <c r="E35" i="4"/>
  <c r="H48" i="19"/>
  <c r="D15" i="22" s="1"/>
  <c r="E20" i="18"/>
  <c r="F35" i="24" l="1"/>
  <c r="F35" i="4"/>
  <c r="N22" i="6"/>
  <c r="M6" i="24" l="1"/>
  <c r="C20" i="7"/>
  <c r="C19" i="7"/>
  <c r="E20" i="7" l="1"/>
  <c r="F20" i="7" s="1"/>
  <c r="J20" i="7"/>
  <c r="K20" i="7" s="1"/>
  <c r="H20" i="7"/>
  <c r="I20" i="7" s="1"/>
  <c r="E19" i="7"/>
  <c r="F19" i="7" s="1"/>
  <c r="H19" i="7"/>
  <c r="I19" i="7" s="1"/>
  <c r="J19" i="7"/>
  <c r="K19" i="7" s="1"/>
  <c r="J18" i="7"/>
  <c r="K18" i="7" s="1"/>
  <c r="E18" i="7"/>
  <c r="F18" i="7" s="1"/>
  <c r="H18" i="7"/>
  <c r="I18" i="7" s="1"/>
  <c r="I30" i="7"/>
  <c r="I27" i="7"/>
  <c r="I28" i="7"/>
  <c r="I29" i="7"/>
  <c r="I25" i="7"/>
  <c r="I26" i="7"/>
  <c r="R18" i="6"/>
  <c r="P18" i="6"/>
  <c r="P19" i="6"/>
  <c r="R19" i="6"/>
  <c r="P17" i="6"/>
  <c r="R17" i="6"/>
  <c r="P20" i="6"/>
  <c r="R20" i="6"/>
  <c r="P15" i="6"/>
  <c r="R15" i="6"/>
  <c r="P16" i="6"/>
  <c r="R16" i="6"/>
  <c r="P14" i="6"/>
  <c r="R14" i="6"/>
  <c r="N146" i="9"/>
  <c r="N148" i="9"/>
  <c r="J27" i="8"/>
  <c r="H27" i="8"/>
  <c r="G20" i="7"/>
  <c r="G19" i="7"/>
  <c r="E31" i="6"/>
  <c r="R30" i="6"/>
  <c r="E30" i="6"/>
  <c r="R29" i="6"/>
  <c r="E29" i="6"/>
  <c r="R28" i="6"/>
  <c r="E28" i="6"/>
  <c r="R27" i="6"/>
  <c r="E27" i="6"/>
  <c r="R26" i="6"/>
  <c r="E26" i="6"/>
  <c r="R25" i="6"/>
  <c r="E25" i="6"/>
  <c r="R24" i="6"/>
  <c r="E24" i="6"/>
  <c r="E23" i="6"/>
  <c r="E22" i="6"/>
  <c r="E20" i="6"/>
  <c r="E19" i="6"/>
  <c r="E18" i="6"/>
  <c r="E17" i="6"/>
  <c r="E16" i="6"/>
  <c r="E15" i="6"/>
  <c r="H14" i="6"/>
  <c r="F15" i="6" s="1"/>
  <c r="G15" i="6" s="1"/>
  <c r="F14" i="6"/>
  <c r="G14" i="6" s="1"/>
  <c r="E14" i="6"/>
  <c r="J31" i="5"/>
  <c r="J27" i="5"/>
  <c r="J26" i="5"/>
  <c r="N16" i="5"/>
  <c r="D8" i="5" s="1"/>
  <c r="L16" i="5"/>
  <c r="M40" i="24" l="1"/>
  <c r="M40" i="4"/>
  <c r="M43" i="24"/>
  <c r="M43" i="4"/>
  <c r="L26" i="5"/>
  <c r="F43" i="1" s="1"/>
  <c r="M8" i="6"/>
  <c r="N149" i="9"/>
  <c r="H19" i="19"/>
  <c r="G19" i="19" s="1"/>
  <c r="H17" i="19"/>
  <c r="C5" i="7"/>
  <c r="M5" i="6"/>
  <c r="D5" i="7"/>
  <c r="L5" i="6"/>
  <c r="I32" i="7"/>
  <c r="I31" i="7"/>
  <c r="M42" i="4" s="1"/>
  <c r="I14" i="6"/>
  <c r="H15" i="6"/>
  <c r="C13" i="7" l="1"/>
  <c r="M42" i="24"/>
  <c r="M35" i="24" s="1"/>
  <c r="N35" i="24" s="1"/>
  <c r="M39" i="24"/>
  <c r="M39" i="4"/>
  <c r="G17" i="19"/>
  <c r="P29" i="6"/>
  <c r="P28" i="6"/>
  <c r="P27" i="6"/>
  <c r="P25" i="6"/>
  <c r="P26" i="6"/>
  <c r="P24" i="6"/>
  <c r="P30" i="6"/>
  <c r="H18" i="19"/>
  <c r="M35" i="4"/>
  <c r="H16" i="6"/>
  <c r="I15" i="6"/>
  <c r="F16" i="6"/>
  <c r="G16" i="6" s="1"/>
  <c r="M41" i="24" l="1"/>
  <c r="M34" i="24" s="1"/>
  <c r="N34" i="24" s="1"/>
  <c r="M41" i="4"/>
  <c r="G18" i="19"/>
  <c r="H11" i="19" s="1"/>
  <c r="L8" i="6"/>
  <c r="N35" i="4"/>
  <c r="L18" i="4"/>
  <c r="F17" i="6"/>
  <c r="G17" i="6" s="1"/>
  <c r="H17" i="6"/>
  <c r="I16" i="6"/>
  <c r="G41" i="20" l="1"/>
  <c r="F41" i="20"/>
  <c r="L6" i="4"/>
  <c r="F36" i="20" s="1"/>
  <c r="M6" i="4"/>
  <c r="E33" i="4"/>
  <c r="E28" i="4" s="1"/>
  <c r="E30" i="4" s="1"/>
  <c r="E33" i="24"/>
  <c r="E28" i="24" s="1"/>
  <c r="H12" i="19"/>
  <c r="D14" i="22" s="1"/>
  <c r="H7" i="19"/>
  <c r="H18" i="6"/>
  <c r="I17" i="6"/>
  <c r="F18" i="6"/>
  <c r="G18" i="6" s="1"/>
  <c r="F38" i="20" l="1"/>
  <c r="E30" i="24"/>
  <c r="L9" i="24"/>
  <c r="L12" i="24"/>
  <c r="F33" i="4"/>
  <c r="F28" i="4" s="1"/>
  <c r="F33" i="24"/>
  <c r="F28" i="24" s="1"/>
  <c r="D17" i="22"/>
  <c r="H9" i="19"/>
  <c r="F19" i="6"/>
  <c r="G19" i="6" s="1"/>
  <c r="H19" i="6"/>
  <c r="I18" i="6"/>
  <c r="G38" i="20" l="1"/>
  <c r="M9" i="24"/>
  <c r="M12" i="24"/>
  <c r="F30" i="24"/>
  <c r="F30" i="4"/>
  <c r="D18" i="22"/>
  <c r="D13" i="22"/>
  <c r="H20" i="6"/>
  <c r="I19" i="6"/>
  <c r="F20" i="6"/>
  <c r="G20" i="6" s="1"/>
  <c r="F22" i="6" l="1"/>
  <c r="G22" i="6" s="1"/>
  <c r="H22" i="6"/>
  <c r="I20" i="6"/>
  <c r="H23" i="6" l="1"/>
  <c r="I22" i="6"/>
  <c r="F23" i="6"/>
  <c r="G23" i="6" s="1"/>
  <c r="H24" i="6" l="1"/>
  <c r="I23" i="6"/>
  <c r="F24" i="6"/>
  <c r="G24" i="6" s="1"/>
  <c r="H25" i="6" l="1"/>
  <c r="I24" i="6"/>
  <c r="F25" i="6"/>
  <c r="G25" i="6" s="1"/>
  <c r="F26" i="6" l="1"/>
  <c r="G26" i="6" s="1"/>
  <c r="H26" i="6"/>
  <c r="I25" i="6"/>
  <c r="H27" i="6" l="1"/>
  <c r="I26" i="6"/>
  <c r="F27" i="6"/>
  <c r="G27" i="6" s="1"/>
  <c r="H28" i="6" l="1"/>
  <c r="F28" i="6"/>
  <c r="G28" i="6" s="1"/>
  <c r="I27" i="6"/>
  <c r="H29" i="6" l="1"/>
  <c r="I28" i="6"/>
  <c r="F29" i="6"/>
  <c r="G29" i="6" s="1"/>
  <c r="F30" i="6" l="1"/>
  <c r="G30" i="6" s="1"/>
  <c r="H30" i="6"/>
  <c r="I29" i="6"/>
  <c r="I30" i="6" l="1"/>
  <c r="F31" i="6"/>
  <c r="G31" i="6" s="1"/>
  <c r="H31" i="6"/>
  <c r="I31" i="6" s="1"/>
  <c r="M34" i="4" l="1"/>
  <c r="N34" i="4" l="1"/>
  <c r="L31" i="5" l="1"/>
  <c r="C8" i="5" s="1"/>
  <c r="M38" i="24" l="1"/>
  <c r="M33" i="24" s="1"/>
  <c r="M38" i="4"/>
  <c r="M33" i="4" s="1"/>
  <c r="N33" i="4" l="1"/>
  <c r="M31" i="4"/>
  <c r="M31" i="24"/>
  <c r="N33" i="24"/>
  <c r="N31" i="4" l="1"/>
  <c r="M32" i="4"/>
  <c r="N32" i="4" s="1"/>
  <c r="N31" i="24"/>
  <c r="M32" i="24"/>
  <c r="N32" i="24" s="1"/>
  <c r="L10" i="24" l="1"/>
  <c r="G40" i="20" s="1"/>
  <c r="G39" i="20"/>
  <c r="F39" i="20"/>
  <c r="L9" i="4"/>
  <c r="F40" i="20" s="1"/>
  <c r="M11" i="4"/>
  <c r="M9" i="4"/>
  <c r="L11"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J4" authorId="0" shapeId="0" xr:uid="{78705AA3-480E-44FB-B6C8-F2E94E6A09E7}">
      <text>
        <r>
          <rPr>
            <b/>
            <sz val="9"/>
            <color indexed="81"/>
            <rFont val="Segoe UI"/>
            <family val="2"/>
          </rPr>
          <t>Tabellenblätter "Punktevergabe Übersicht" | "Punktevergabe Details"</t>
        </r>
        <r>
          <rPr>
            <sz val="9"/>
            <color indexed="81"/>
            <rFont val="Segoe UI"/>
            <charset val="1"/>
          </rPr>
          <t xml:space="preserve">
Tragen Sie auf der linken Seite das Punktevergabeschema für Ihre Ausschreibung ein (auf der rechten Seite nehmen Sie die Bewertung nach Erhalt des eingereichten Angebots vor). 
Erforderliche Eingaben: Vorhandene Ausschlusskriterien; Gewichtung Preis vs. Qualität; Gewichtung innerhalb der Qualitätskriterien: Technische vs. ökologische Zuschlagskriterien; erreichbare Gesamtpunktzahl (z.B. 100 Punkte); Einzelanforderungen innerhalb der technischen bzw. ökologischen Zuschlagskriterien mit der jeweils erreichbaren Punktzahl. Bei Laufzeitoption: Tragen Sie den im eingereichten Angebot genannten Gesamtangebotspreis, der nur für den zusätzlichen Optionszeitraum gilt, separat ein. 
Angebotsbewertung: Entscheiden Sie, ob Sie die Bewertung der Angebote auf Basis integrierter oder separater CO2-Kosten vornehmen wollen;  löschen Sie vor Versand des Tools mit den Ausschreibungsunterlagen entweder Tabellenblatt "Ergebnis LCC inkl. CO2-Kosten" und leeren im Tabellenblatt "Punktevergabe Übersicht" die Zellen F31-F41; oder löschen Sie das Tabellenblatt "Ergebnis LCC ohne CO2-Kosten" und leeren im Tabellenblatt "Punktevergabe Übersicht" die Zellen G31-G41; sowie die dortige Anleitung für Beschaffende. </t>
        </r>
      </text>
    </comment>
    <comment ref="J5" authorId="0" shapeId="0" xr:uid="{E31C105F-D449-4560-A600-5CF11DF1041C}">
      <text>
        <r>
          <rPr>
            <b/>
            <sz val="9"/>
            <color indexed="81"/>
            <rFont val="Segoe UI"/>
            <family val="2"/>
          </rPr>
          <t>Tabellenblätter "Punktevergabe Übersicht" | "Punktevergabe Details"</t>
        </r>
        <r>
          <rPr>
            <sz val="9"/>
            <color indexed="81"/>
            <rFont val="Segoe UI"/>
            <family val="2"/>
          </rPr>
          <t xml:space="preserve">
Diese beiden Tabellenblätter dienen zur Information der Bietenden über das Punktevergabeschema der vorliegenden Ausschreibung (Ausschlusskriterien; Gewichtung Preis vs. Qualität; Gesamtpunktzahl und erreichbare Punktzahl für technische und ökologische Zuschlagskriterien). 
Nach Einreichen der von den Bietenden ausgefüllten Tools mit den Angebotsunterlagen nimmt die Beschaffungsstelle hier die Bewertung der Angebote vor (Erfüllungsgrad der einzelnen Zuschlagskriterien, erreichte Preis- und Qualitätspunkte). Im Tabellenblatt "Punktevergabe Übersicht" werden zudem die errechneten Werte für den Angebotspreis und die Lebenszykluskosten (inklusive bzw. mit separater Ausweisung der CO2-Kosten) der jeweiligen Angebote aufgezeigt, die die Beschaffungsstelle in die Bewertung der Wirtschaftlichkeit der Angebote einbezieht. Eine detaillierte Aufschlüsselung der Lebenszykluskosten, ggf. auch mit Investitionsrechnung zukünftig entstehender Kostenbestandteile, finden Sie im Ergebnis-Tabellenblatt.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F4" authorId="0" shapeId="0" xr:uid="{3D791EF0-2E76-48CD-80A8-C13C9794554E}">
      <text>
        <r>
          <rPr>
            <b/>
            <sz val="9"/>
            <color indexed="81"/>
            <rFont val="Segoe UI"/>
            <family val="2"/>
          </rPr>
          <t>Tabellenblätter "Ergebnis LCC inkl. CO2-Kosten" | "Ergebnis LCC ohne CO2-Kosten"</t>
        </r>
        <r>
          <rPr>
            <sz val="9"/>
            <color indexed="81"/>
            <rFont val="Segoe UI"/>
            <family val="2"/>
          </rPr>
          <t xml:space="preserve">
Legen Sie für Ihre Ausschreibung fest, in welcher Form Sie die CO2-Kosten der prognostizierten Treibhausgasemissionen bei der Angebotsbewertung berücksichtigen werden. 
</t>
        </r>
        <r>
          <rPr>
            <u/>
            <sz val="9"/>
            <color indexed="81"/>
            <rFont val="Segoe UI"/>
            <family val="2"/>
          </rPr>
          <t>Im Regelfall</t>
        </r>
        <r>
          <rPr>
            <sz val="9"/>
            <color indexed="81"/>
            <rFont val="Segoe UI"/>
            <family val="2"/>
          </rPr>
          <t xml:space="preserve"> sollten die CO2-Kosten Teil der gesamten Lebenszykluskosten sein. In diesem Fall nutzen Sie das Tabellenblatt "Ergebnis LCC inkl. CO2-Kosten", </t>
        </r>
        <r>
          <rPr>
            <b/>
            <sz val="9"/>
            <color indexed="81"/>
            <rFont val="Segoe UI"/>
            <family val="2"/>
          </rPr>
          <t>löschen das Tabellenblatt "Ergebnis LCC ohne CO2-Kosten"</t>
        </r>
        <r>
          <rPr>
            <sz val="9"/>
            <color indexed="81"/>
            <rFont val="Segoe UI"/>
            <family val="2"/>
          </rPr>
          <t xml:space="preserve"> und leeren auf dem Tabellenblatt "Punktevergabe Übersicht" die Zellen G31-G41, bevor Sie die Datei extern mit den Ausschreibungsunterlagen zur Verfügung stellen. 
</t>
        </r>
        <r>
          <rPr>
            <u/>
            <sz val="9"/>
            <color indexed="81"/>
            <rFont val="Segoe UI"/>
            <family val="2"/>
          </rPr>
          <t>Alternativ</t>
        </r>
        <r>
          <rPr>
            <sz val="9"/>
            <color indexed="81"/>
            <rFont val="Segoe UI"/>
            <family val="2"/>
          </rPr>
          <t xml:space="preserve"> können Sie die Lebenszykluskosten ohne CO2-Kosten berechnen und stattdessen die CO2-Kosten als Ökologisches Zuschlagskriterium in die Bewertung einbeziehen. In diesem Fall legen Sie im Tabellenblatt "Punktevergabe Detail" ein entsprechendes Kriterium mit Punktzahl und Gewichtung fest. Sie nutzen dann das Tabellenblatt "Ergebnis LCC ohne CO2-Kosten", </t>
        </r>
        <r>
          <rPr>
            <b/>
            <sz val="9"/>
            <color indexed="81"/>
            <rFont val="Segoe UI"/>
            <family val="2"/>
          </rPr>
          <t>löschen das Tabellenblatt "Ergebnis LCC inkl. CO2-Kosten"</t>
        </r>
        <r>
          <rPr>
            <sz val="9"/>
            <color indexed="81"/>
            <rFont val="Segoe UI"/>
            <family val="2"/>
          </rPr>
          <t xml:space="preserve"> und leeren auf dem Tabellenblatt "Punktevergabe Übersicht" die Zellen F31-F41, bevor Sie die Datei extern mit den Ausschreibungsunterlagen zur Verfügung stellen.
Im verbleibenden Ergebnis-Tabellenblatt geben Sie die spezifische Angebots-ID, Vertragslaufzeit (kann von der geplanten Nutzungsdauer der zu beschaffenden Ware abweichen), sofern relevant eine Laufzeitoption (zusätzlicher Optionszeitraum in Jahren), und den anzusetzenden CO2-Preis ein. 
</t>
        </r>
        <r>
          <rPr>
            <u/>
            <sz val="9"/>
            <color indexed="81"/>
            <rFont val="Segoe UI"/>
            <family val="2"/>
          </rPr>
          <t>CO2-Preis</t>
        </r>
        <r>
          <rPr>
            <sz val="9"/>
            <color indexed="81"/>
            <rFont val="Segoe UI"/>
            <family val="2"/>
          </rPr>
          <t>: Liegt keine hausinterne Vorgabe vor, können Sie für den Nutzungszeitraum der zu beschaffenden Ware bis einschließlich des Jahres 2026 die CO2-Preise des Bundesemissionshandels-gesetzes BEHG als Mindestpreis zugrunde legen. § 10 Abs. 2 BEHG legt für die Einführungsphase bis 2026 derzeit einen (jährlich) steigenden Festpreis bis 55 Euro und für das Jahr 2026 einen Preiskorridor von mindestens 55 und höchstens 65 Euro fest. Der festgelegte Mindestpreis liegt jedoch weit unter den real in der Zukunft zu erwartenden Größenordnungen für die volkswirtschaftlichen Kosten unterbliebenen Klimaschutzes. Diese werden vom Umweltbundesamt in der sogenannten "Methodenkonvention zur Ermittlung von Umweltkosten" deutlich höher angesetzt.</t>
        </r>
      </text>
    </comment>
    <comment ref="F5" authorId="0" shapeId="0" xr:uid="{2DABB715-9316-45AE-9C26-319B81333F30}">
      <text>
        <r>
          <rPr>
            <b/>
            <sz val="9"/>
            <color indexed="81"/>
            <rFont val="Segoe UI"/>
            <family val="2"/>
          </rPr>
          <t xml:space="preserve">Tabellenblätter "Ergebnis LCC inkl. CO2-Kosten" | "Ergebnis LCC ohne CO2-Kosten"
</t>
        </r>
        <r>
          <rPr>
            <sz val="9"/>
            <color indexed="81"/>
            <rFont val="Segoe UI"/>
            <family val="2"/>
          </rPr>
          <t xml:space="preserve">In diesem Blatt sind nur Einträge durch die Beschaffungsstelle vorgesehen. </t>
        </r>
        <r>
          <rPr>
            <b/>
            <sz val="9"/>
            <color indexed="81"/>
            <rFont val="Segoe UI"/>
            <family val="2"/>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G6" authorId="0" shapeId="0" xr:uid="{3A14E742-9E17-415B-BBC1-C45AE5C2AD09}">
      <text>
        <r>
          <rPr>
            <sz val="9"/>
            <color indexed="81"/>
            <rFont val="Segoe UI"/>
            <family val="2"/>
          </rPr>
          <t>Diese Tabellenblätter dienen zur Information - Eingaben sind keine notwendig. 
Hier finden Sie die Berechnungen für das LCC-CO2 Berechnungsmodell basierend auf den Eingabedaten der Bietenden in den Tabellenblättern "THG-Emissionen mit bzw. ohne Zertifikat". Sie können sich informieren, welche Auswirkungen verschiedene Materialien auf die CO2-Emissionskosten haben, bzw. wie sich diese berechnen.</t>
        </r>
      </text>
    </comment>
    <comment ref="G7" authorId="0" shapeId="0" xr:uid="{A98080B3-4587-4185-85E7-72260B0FEDFB}">
      <text>
        <r>
          <rPr>
            <sz val="9"/>
            <color indexed="81"/>
            <rFont val="Segoe UI"/>
            <family val="2"/>
          </rPr>
          <t>Diese Tabellenblätter dienen zur Information - Eingaben sind keine notwendig. 
Hier finden Sie die Berechnungen für das LCC-CO2 Berechnungsmodell basierend auf den Eingabedaten der Bietenden in den Tabellenblättern "THG-Emissionen mit bzw. ohne Zertifikat". Sie können sich informieren, welche Auswirkungen verschiedene Materialien auf die CO2-Emissionskosten haben, bzw. wie sich diese berechnen.</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O6" authorId="0" shapeId="0" xr:uid="{896989F8-EFE2-49CE-916B-3FDA2D1B5FB7}">
      <text>
        <r>
          <rPr>
            <sz val="9"/>
            <color indexed="81"/>
            <rFont val="Segoe UI"/>
            <family val="2"/>
          </rPr>
          <t>Diese Tabellenblätter dienen zur Information - Eingaben sind keine notwendig. 
Hier finden Sie die Berechnungen für das LCC-CO2 Berechnungsmodell basierend auf den Eingabedaten der Bietenden in den Tabellenblättern "THG-Emissionen mit bzw. ohne Zertifikat". Sie können sich informieren, welche Auswirkungen verschiedene Materialien auf die CO2-Emissionskosten haben, bzw. wie sich diese berechnen.</t>
        </r>
      </text>
    </comment>
    <comment ref="O7" authorId="0" shapeId="0" xr:uid="{20609F49-F331-4BCA-AB38-9FA0ED8B7911}">
      <text>
        <r>
          <rPr>
            <sz val="9"/>
            <color indexed="81"/>
            <rFont val="Segoe UI"/>
            <family val="2"/>
          </rPr>
          <t>Diese Tabellenblätter dienen zur Information - Eingaben sind keine notwendig. 
Hier finden Sie die Berechnungen für das LCC-CO2 Berechnungsmodell basierend auf den Eingabedaten der Bietenden in den Tabellenblättern "THG-Emissionen mit bzw. ohne Zertifikat". Sie können sich informieren, welche Auswirkungen verschiedene Materialien auf die CO2-Emissionskosten haben, bzw. wie sich diese berechnen.</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F6" authorId="0" shapeId="0" xr:uid="{10463A82-99F8-4412-9A0F-B19051ECC471}">
      <text>
        <r>
          <rPr>
            <sz val="9"/>
            <color indexed="81"/>
            <rFont val="Segoe UI"/>
            <family val="2"/>
          </rPr>
          <t>Diese Tabellenblätter dienen zur Information - Eingaben sind keine notwendig. 
Hier finden Sie die Berechnungen für das LCC-CO2 Berechnungsmodell basierend auf den Eingabedaten der Bietenden in den Tabellenblättern "THG-Emissionen mit bzw. ohne Zertifikat". Sie können sich informieren, welche Auswirkungen verschiedene Materialien auf die CO2-Emissionskosten haben, bzw. wie sich diese berechnen.</t>
        </r>
      </text>
    </comment>
    <comment ref="F7" authorId="0" shapeId="0" xr:uid="{8E17B8B8-5DAA-4A73-A862-AD83860CFA6F}">
      <text>
        <r>
          <rPr>
            <sz val="9"/>
            <color indexed="81"/>
            <rFont val="Segoe UI"/>
            <family val="2"/>
          </rPr>
          <t>Diese Tabellenblätter dienen zur Information - Eingaben sind keine notwendig. 
Hier finden Sie die Berechnungen für das LCC-CO2 Berechnungsmodell basierend auf den Eingabedaten der Bietenden in den Tabellenblättern "THG-Emissionen mit bzw. ohne Zertifikat". Sie können sich informieren, welche Auswirkungen verschiedene Materialien auf die CO2-Emissionskosten haben, bzw. wie sich diese berechnen.</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P5" authorId="0" shapeId="0" xr:uid="{0A966E21-D0B2-434C-BFBA-D9714492FA1E}">
      <text>
        <r>
          <rPr>
            <b/>
            <sz val="9"/>
            <color indexed="81"/>
            <rFont val="Segoe UI"/>
            <family val="2"/>
          </rPr>
          <t>Tabellenblätter "Emissionsfaktoren_Stoffe" | "Emissionsfaktoren_Prozesse" | "Emissionsfaktoren_Lebenszyklus"</t>
        </r>
        <r>
          <rPr>
            <sz val="9"/>
            <color indexed="81"/>
            <rFont val="Segoe UI"/>
            <family val="2"/>
          </rPr>
          <t xml:space="preserve">
Sind Ihnen z.B. aus zurückliegenden Beschaffungsvorgängen oder durch Literaturrecherche spezifischere oder weitere Emissionsfaktoren für Ihre zu beschaffenden Waren bekannt, so fügen Sie diese als neue Zeilen in der alphabetischen Auflistung der vorhandenen Emissionsfaktoren ein. Sie erscheinen dann auf den anderen Tabellenblättern in den jeweiligen Dropdown-Auswahlfeldern. </t>
        </r>
      </text>
    </comment>
    <comment ref="P6" authorId="0" shapeId="0" xr:uid="{70DAA2F9-4B7A-4414-8B2D-DAC885E5C3E8}">
      <text>
        <r>
          <rPr>
            <b/>
            <sz val="9"/>
            <color indexed="81"/>
            <rFont val="Segoe UI"/>
            <family val="2"/>
          </rPr>
          <t xml:space="preserve">Tabellenblätter "Emissionsfaktoren_Stoffe" | "Emissionsfaktoren_Prozesse" | "Emissionsfaktoren_Lebenszyklus"
</t>
        </r>
        <r>
          <rPr>
            <sz val="9"/>
            <color indexed="81"/>
            <rFont val="Segoe UI"/>
            <family val="2"/>
          </rPr>
          <t>Verfügen Sie für Ihre anzubietenden Waren über spezifischere oder ergänzende Emissionsfaktoren als diejenigen, die in den Tabellenblättern voreingestellt sind, so fügen Sie diese jeweils in den hellblauen Zeilen unterhalb der Tabellenabschnitte ein. So erscheinen sie dann auf den anderen Tabellenblättern in den jeweiligen Dropdown-Auswahlfeldern. Bitte vergessen Sie nicht, Nachweise über die von Ihnen neu eingefügten und verwendeten Emissionsfaktoren beizufügen.</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V6" authorId="0" shapeId="0" xr:uid="{1D81C932-8F24-4697-BCC4-8A864CE0A2CC}">
      <text>
        <r>
          <rPr>
            <b/>
            <sz val="9"/>
            <color indexed="81"/>
            <rFont val="Segoe UI"/>
            <family val="2"/>
          </rPr>
          <t>Tabellenblätter "Emissionsfaktoren_Stoffe" | "Emissionsfaktoren_Prozesse" | "Emissionsfaktoren_Lebenszyklus"</t>
        </r>
        <r>
          <rPr>
            <sz val="9"/>
            <color indexed="81"/>
            <rFont val="Segoe UI"/>
            <family val="2"/>
          </rPr>
          <t xml:space="preserve">
Sind Ihnen z.B. aus zurückliegenden Beschaffungsvorgängen oder durch Literaturrecherche spezifischere oder weitere Emissionsfaktoren für Ihre zu beschaffenden Waren bekannt, so fügen Sie diese als neue Zeilen in der alphabetischen Auflistung der vorhandenen Emissionsfaktoren ein. Sie erscheinen dann auf den anderen Tabellenblättern in den jeweiligen Dropdown-Auswahlfeldern. </t>
        </r>
      </text>
    </comment>
    <comment ref="V7" authorId="0" shapeId="0" xr:uid="{ECEB45E4-043C-4F98-8DDA-C06293395BCD}">
      <text>
        <r>
          <rPr>
            <b/>
            <sz val="9"/>
            <color indexed="81"/>
            <rFont val="Segoe UI"/>
            <family val="2"/>
          </rPr>
          <t xml:space="preserve">Tabellenblätter "Emissionsfaktoren_Stoffe" | "Emissionsfaktoren_Prozesse" | "Emissionsfaktoren_Lebenszyklus"
</t>
        </r>
        <r>
          <rPr>
            <sz val="9"/>
            <color indexed="81"/>
            <rFont val="Segoe UI"/>
            <family val="2"/>
          </rPr>
          <t>Verfügen Sie für Ihre anzubietenden Waren über spezifischere oder ergänzende Emissionsfaktoren als diejenigen, die in den Tabellenblättern voreingestellt sind, so fügen Sie diese jeweils in den hellblauen Zeilen unterhalb der Tabellenabschnitte ein. So erscheinen sie dann auf den anderen Tabellenblättern in den jeweiligen Dropdown-Auswahlfeldern. Bitte vergessen Sie nicht, Nachweise über die von Ihnen neu eingefügten und verwendeten Emissionsfaktoren beizufügen.</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B20" authorId="0" shapeId="0" xr:uid="{E86BAECA-1B41-47A4-B92A-181F3EBFC479}">
      <text>
        <r>
          <rPr>
            <b/>
            <sz val="9"/>
            <color indexed="81"/>
            <rFont val="Segoe UI"/>
            <family val="2"/>
          </rPr>
          <t>Tabellenblätter "Emissionsfaktoren_Stoffe" | "Emissionsfaktoren_Prozesse" | "Emissionsfaktoren_Lebenszyklus"</t>
        </r>
        <r>
          <rPr>
            <sz val="9"/>
            <color indexed="81"/>
            <rFont val="Segoe UI"/>
            <family val="2"/>
          </rPr>
          <t xml:space="preserve">
Sind Ihnen z.B. aus zurückliegenden Beschaffungsvorgängen oder durch Literaturrecherche spezifischere oder weitere Emissionsfaktoren für Ihre zu beschaffenden Waren bekannt, so fügen Sie diese als neue Zeilen in der alphabetischen Auflistung der vorhandenen Emissionsfaktoren ein. Sie erscheinen dann auf den anderen Tabellenblättern in den jeweiligen Dropdown-Auswahlfeldern. </t>
        </r>
      </text>
    </comment>
    <comment ref="B21" authorId="0" shapeId="0" xr:uid="{FF0D4ABD-A77D-4268-9E2D-79F4C9983744}">
      <text>
        <r>
          <rPr>
            <b/>
            <sz val="9"/>
            <color indexed="81"/>
            <rFont val="Segoe UI"/>
            <family val="2"/>
          </rPr>
          <t xml:space="preserve">Tabellenblätter "Emissionsfaktoren_Stoffe" | "Emissionsfaktoren_Prozesse" | "Emissionsfaktoren_Lebenszyklus"
</t>
        </r>
        <r>
          <rPr>
            <sz val="9"/>
            <color indexed="81"/>
            <rFont val="Segoe UI"/>
            <family val="2"/>
          </rPr>
          <t>Verfügen Sie für Ihre anzubietenden Waren über spezifischere oder ergänzende Emissionsfaktoren als diejenigen, die in den Tabellenblättern voreingestellt sind, so fügen Sie diese jeweils in den hellblauen Zeilen unterhalb der Tabellenabschnitte ein. So erscheinen sie dann auf den anderen Tabellenblättern in den jeweiligen Dropdown-Auswahlfeldern. Bitte vergessen Sie nicht, Nachweise über die von Ihnen neu eingefügten und verwendeten Emissionsfaktoren beizufügen.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K4" authorId="0" shapeId="0" xr:uid="{1AEB4B95-BD58-4525-BDEE-8D387340A8D4}">
      <text>
        <r>
          <rPr>
            <b/>
            <sz val="9"/>
            <color indexed="81"/>
            <rFont val="Segoe UI"/>
            <family val="2"/>
          </rPr>
          <t>Tabellenblätter "Punktevergabe Übersicht" | "Punktevergabe Details"</t>
        </r>
        <r>
          <rPr>
            <sz val="9"/>
            <color indexed="81"/>
            <rFont val="Segoe UI"/>
            <charset val="1"/>
          </rPr>
          <t xml:space="preserve">
Tragen Sie auf der linken Seite das Punktevergabeschema für Ihre Ausschreibung ein (auf der rechten Seite nehmen Sie die Bewertung nach Erhalt des eingereichten Angebots vor). 
Erforderliche Eingaben: Vorhandene Ausschlusskriterien; Gewichtung Preis vs. Qualität; Gewichtung innerhalb der Qualitätskriterien: Technische vs. ökologische Zuschlagskriterien; erreichbare Gesamtpunktzahl (z.B. 100 Punkte); Einzelanforderungen innerhalb der technischen bzw. ökologischen Zuschlagskriterien mit der jeweils erreichbaren Punktzahl. Bei Laufzeitoption: Tragen Sie den im eingereichten Angebot genannten Gesamtangebotspreis, der nur für den zusätzlichen Optionszeitraum gilt, separat ein. 
Angebotsbewertung: Entscheiden Sie, ob Sie die Bewertung der Angebote auf Basis integrierter oder separater CO2-Kosten vornehmen wollen;  löschen Sie vor Versand des Tools mit den Ausschreibungsunterlagen entweder Tabellenblatt "Ergebnis LCC inkl. CO2-Kosten" und leeren im Tabellenblatt "Punktevergabe Übersicht" die Zellen F31-F41; oder löschen Sie das Tabellenblatt "Ergebnis LCC ohne CO2-Kosten" und leeren im Tabellenblatt "Punktevergabe Übersicht" die Zellen G31-G41; sowie die dortige Anleitung für Beschaffende. </t>
        </r>
      </text>
    </comment>
    <comment ref="K5" authorId="0" shapeId="0" xr:uid="{09ACFF2C-AEAB-416C-A30C-396D03314AD2}">
      <text>
        <r>
          <rPr>
            <b/>
            <sz val="9"/>
            <color indexed="81"/>
            <rFont val="Segoe UI"/>
            <family val="2"/>
          </rPr>
          <t>Tabellenblätter "Punktevergabe Übersicht" | "Punktevergabe Details"</t>
        </r>
        <r>
          <rPr>
            <sz val="9"/>
            <color indexed="81"/>
            <rFont val="Segoe UI"/>
            <family val="2"/>
          </rPr>
          <t xml:space="preserve">
Diese beiden Tabellenblätter dienen zur Information der Bietenden über das Punktevergabeschema der vorliegenden Ausschreibung (Ausschlusskriterien; Gewichtung Preis vs. Qualität; Gesamtpunktzahl und erreichbare Punktzahl für technische und ökologische Zuschlagskriterien). 
Nach Einreichen der von den Bietenden ausgefüllten Tools mit den Angebotsunterlagen nimmt die Beschaffungsstelle hier die Bewertung der Angebote vor (Erfüllungsgrad der einzelnen Zuschlagskriterien, erreichte Preis- und Qualitätspunkte). Im Tabellenblatt "Punktevergabe Übersicht" werden zudem die errechneten Werte für den Angebotspreis und die Lebenszykluskosten (inklusive bzw. mit separater Ausweisung der CO2-Kosten) der jeweiligen Angebote aufgezeigt, die die Beschaffungsstelle in die Bewertung der Wirtschaftlichkeit der Angebote einbezieht. Eine detaillierte Aufschlüsselung der Lebenszykluskosten, ggf. auch mit Investitionsrechnung zukünftig entstehender Kostenbestandteile, finden Sie im Ergebnis-Tabellenblatt.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G5" authorId="0" shapeId="0" xr:uid="{125F38F9-B095-42F7-B716-9E4C44A96932}">
      <text>
        <r>
          <rPr>
            <b/>
            <sz val="9"/>
            <color indexed="81"/>
            <rFont val="Segoe UI"/>
            <family val="2"/>
          </rPr>
          <t>Tabellenblatt "Einmalkosten"</t>
        </r>
        <r>
          <rPr>
            <sz val="9"/>
            <color indexed="81"/>
            <rFont val="Segoe UI"/>
            <family val="2"/>
          </rPr>
          <t xml:space="preserve">
Hier tragen Sie die Detailanforderungen an die zu beschaffende Ware ein ("Lastenheft")</t>
        </r>
      </text>
    </comment>
    <comment ref="G6" authorId="0" shapeId="0" xr:uid="{C8634D1B-746B-4945-9B9F-B409EF8AC737}">
      <text>
        <r>
          <rPr>
            <b/>
            <sz val="9"/>
            <color indexed="81"/>
            <rFont val="Segoe UI"/>
            <family val="2"/>
          </rPr>
          <t>Tabellenblatt "Einmalkosten"</t>
        </r>
        <r>
          <rPr>
            <sz val="9"/>
            <color indexed="81"/>
            <rFont val="Segoe UI"/>
            <family val="2"/>
          </rPr>
          <t xml:space="preserve">
Hier tragen finden Sie die Detailanforderungen an die zu beschaffende Ware ("Lastenheft"). 
Als Bietende tragen Sie zunächst Ihre Firmenbezeichnung, den Hersteller und die Typenbezeichnung Ihrer angebotenen Ware, sowie die Nettoangebotspreise (ggf. unter Angabe der spezifischen Hersteller und Typenbezeichnungen) der jeweiligen Einzelpositionen ein.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H4" authorId="0" shapeId="0" xr:uid="{85C669D2-8888-430B-8BB2-D76608480927}">
      <text>
        <r>
          <rPr>
            <b/>
            <sz val="9"/>
            <color indexed="81"/>
            <rFont val="Segoe UI"/>
            <family val="2"/>
          </rPr>
          <t>Tabellenblatt "Transport+Installationskosten"</t>
        </r>
        <r>
          <rPr>
            <sz val="9"/>
            <color indexed="81"/>
            <rFont val="Segoe UI"/>
            <family val="2"/>
          </rPr>
          <t xml:space="preserve">
In diesem Blatt sind nur Einträge durch die Bietenden vorgesehen. </t>
        </r>
      </text>
    </comment>
    <comment ref="H5" authorId="0" shapeId="0" xr:uid="{1538EA94-2B7B-465E-B853-B548F2C76749}">
      <text>
        <r>
          <rPr>
            <b/>
            <sz val="9"/>
            <color indexed="81"/>
            <rFont val="Segoe UI"/>
            <family val="2"/>
          </rPr>
          <t>Tabellenblatt "Transport+Installationskosten"</t>
        </r>
        <r>
          <rPr>
            <sz val="9"/>
            <color indexed="81"/>
            <rFont val="Segoe UI"/>
            <family val="2"/>
          </rPr>
          <t xml:space="preserve">
In diesem Blatt spezifizieren Sie Transportkostenanteile und Installationskostenanteile und tragen die jeweils damit verbundenen Einzelpreise bezogen auf </t>
        </r>
        <r>
          <rPr>
            <u/>
            <sz val="9"/>
            <color indexed="81"/>
            <rFont val="Segoe UI"/>
            <family val="2"/>
          </rPr>
          <t>eine</t>
        </r>
        <r>
          <rPr>
            <sz val="9"/>
            <color indexed="81"/>
            <rFont val="Segoe UI"/>
            <family val="2"/>
          </rPr>
          <t xml:space="preserve"> funktionelle Einheit der anzubietenden Ware ein. 
Im Ergebnistabellenblatt werden die Transport- und Installationskosten auf die Gesamtmenge der angebotenen Waren (Anzahl funktioneller Einheiten) hochgerechnet.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L4" authorId="0" shapeId="0" xr:uid="{D91BBF7B-7070-424E-96FF-FA64BEC391A2}">
      <text>
        <r>
          <rPr>
            <b/>
            <sz val="9"/>
            <color indexed="81"/>
            <rFont val="Segoe UI"/>
            <family val="2"/>
          </rPr>
          <t>Tabellenblatt "Laufende Kosten"</t>
        </r>
        <r>
          <rPr>
            <sz val="9"/>
            <color indexed="81"/>
            <rFont val="Segoe UI"/>
            <family val="2"/>
          </rPr>
          <t xml:space="preserve">
Hier tragen Sie - sofern für die zu beschaffende Ware relevant - Ihre aktuellen Preise für die zu nutzenden Energieträger ein. </t>
        </r>
      </text>
    </comment>
    <comment ref="L5" authorId="0" shapeId="0" xr:uid="{1C67A8B9-B6D6-4FCB-99E1-73850CACFBC2}">
      <text>
        <r>
          <rPr>
            <b/>
            <sz val="9"/>
            <color indexed="81"/>
            <rFont val="Segoe UI"/>
            <family val="2"/>
          </rPr>
          <t>Tabellenblatt "Laufende Kosten"</t>
        </r>
        <r>
          <rPr>
            <sz val="9"/>
            <color indexed="81"/>
            <rFont val="Segoe UI"/>
            <family val="2"/>
          </rPr>
          <t xml:space="preserve">
Laufende Kosten können Kosten für Energie-, Treibstoff- oder Wärmebedarf während der Nutzungsdauer der zu beschaffenden Ware sein. Die Beschaffungsstelle gibt in diesem Blatt - sofern für die zu beschaffende Ware relevant - die anzusetzenden Preise für die zu nutzenden Energieträger ein. Auf Basis Ihrer Angaben zum Verbrauch im Tabellenblatt "THG-Emissionen mit/ohne Zertifikat" werden die resultierenden laufenden Verbrauchskosten hier automatisch berechnet. 
Im mittleren Teil des Tabellenblatts tragen Sie als Bietende - sofern für die anzubietende Ware relevant - die  Wartungstätigkeiten ein, die </t>
        </r>
        <r>
          <rPr>
            <u/>
            <sz val="9"/>
            <color indexed="81"/>
            <rFont val="Segoe UI"/>
            <family val="2"/>
          </rPr>
          <t>durch den Bietenden übernommen</t>
        </r>
        <r>
          <rPr>
            <sz val="9"/>
            <color indexed="81"/>
            <rFont val="Segoe UI"/>
            <family val="2"/>
          </rPr>
          <t xml:space="preserve"> werden, die Anzahl der erforderlichen Tätigkeiten über die angegebene Nutzungsdauer sowie die Kosten der einzelnen Wartungstätigkeit(en) für </t>
        </r>
        <r>
          <rPr>
            <u/>
            <sz val="9"/>
            <color indexed="81"/>
            <rFont val="Segoe UI"/>
            <family val="2"/>
          </rPr>
          <t>eine</t>
        </r>
        <r>
          <rPr>
            <sz val="9"/>
            <color indexed="81"/>
            <rFont val="Segoe UI"/>
            <family val="2"/>
          </rPr>
          <t xml:space="preserve"> funktionelle Einheit der anzubietenden Ware. Im Ergebnistabellenblatt werden die Transport- und Installationskosten auf die Gesamtmenge der angebotenen Waren (Anzahl funktioneller Einheiten) hochgerechnet. 
Im unteren Teil des Tabellenblatts tragen Sie als Bietende  - sofern für die zu anzubietende Ware relevant - solche Wartungstätigkeiten ein, die </t>
        </r>
        <r>
          <rPr>
            <u/>
            <sz val="9"/>
            <color indexed="81"/>
            <rFont val="Segoe UI"/>
            <family val="2"/>
          </rPr>
          <t>von der Beschaffungsstelle selbst ausgeführt</t>
        </r>
        <r>
          <rPr>
            <sz val="9"/>
            <color indexed="81"/>
            <rFont val="Segoe UI"/>
            <family val="2"/>
          </rPr>
          <t xml:space="preserve"> werden müssen, die Anzahl der erforderlichen Tätigkeiten über die angegebene Nutzungsdauer sowie die Kosten der einzelnen Wartungstätigkeit(en) für </t>
        </r>
        <r>
          <rPr>
            <u/>
            <sz val="9"/>
            <color indexed="81"/>
            <rFont val="Segoe UI"/>
            <family val="2"/>
          </rPr>
          <t>eine</t>
        </r>
        <r>
          <rPr>
            <sz val="9"/>
            <color indexed="81"/>
            <rFont val="Segoe UI"/>
            <family val="2"/>
          </rPr>
          <t xml:space="preserve"> funktionelle Einheit der anzubietenden Ware. Im Ergebnistabellenblatt werden die Transport- und Installationskosten auf die Gesamtmenge der angebotenen Waren (Anzahl funktioneller Einheiten) hochgerechnet.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E3" authorId="0" shapeId="0" xr:uid="{FDF2C03C-CF0D-4442-B4E2-36B29CB9E861}">
      <text>
        <r>
          <rPr>
            <b/>
            <sz val="9"/>
            <color indexed="81"/>
            <rFont val="Segoe UI"/>
            <family val="2"/>
          </rPr>
          <t>Tabellenblatt "Investitionsrechnung"</t>
        </r>
        <r>
          <rPr>
            <sz val="9"/>
            <color indexed="81"/>
            <rFont val="Segoe UI"/>
            <family val="2"/>
          </rPr>
          <t xml:space="preserve">
Hier tragen Sie - sofern für die zu beschaffende Ware relevant - die anzusetzende allgemeine Inflations- und Diskontrate ein. Damit können Sie, falls während der Nutzungsphase weitere Kosten in der Zukunft entstehen, diese für die Berechnung der Lebenszykluskosten auf- oder abzinsen. </t>
        </r>
      </text>
    </comment>
    <comment ref="E4" authorId="0" shapeId="0" xr:uid="{E6B09CA3-8A9E-48E1-8B3A-9A06B3635582}">
      <text>
        <r>
          <rPr>
            <b/>
            <sz val="9"/>
            <color indexed="81"/>
            <rFont val="Segoe UI"/>
            <family val="2"/>
          </rPr>
          <t>Tabellenblatt "Investitionsrechnung"</t>
        </r>
        <r>
          <rPr>
            <sz val="9"/>
            <color indexed="81"/>
            <rFont val="Segoe UI"/>
            <family val="2"/>
          </rPr>
          <t xml:space="preserve">
In diesem Blatt sind nur Einträge durch die Beschaffungsstelle vorgesehen.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H4" authorId="0" shapeId="0" xr:uid="{61FF142A-A177-4A9D-9F5F-C61756347CA6}">
      <text>
        <r>
          <rPr>
            <b/>
            <sz val="9"/>
            <color indexed="81"/>
            <rFont val="Segoe UI"/>
            <family val="2"/>
          </rPr>
          <t>Tabellenblätter "THG-Emissionen mit Zertifikat" | "THG-Emissionen ohne Zertifikat"</t>
        </r>
        <r>
          <rPr>
            <sz val="9"/>
            <color indexed="81"/>
            <rFont val="Segoe UI"/>
            <family val="2"/>
          </rPr>
          <t xml:space="preserve">
In beiden Tabellenblättern tragen Sie jeweils den Leistungsgegenstand gemäß Ausschreibung ("funktionelle Einheit") und die Gesamtanzahl der zu beschaffenden funktionellen Einheiten ein. 
Tragen Sie zudem den Zielort der Anlieferung (zur Berechnung der Transportaufwendungen), die geplante Nutzungsdauer in Jahren sowie - sofern für die zu beschaffende Ware relevant - die Nutzungsdauer pro Jahr (z.B. x Tage oder x Stunden) ein. </t>
        </r>
      </text>
    </comment>
    <comment ref="H5" authorId="0" shapeId="0" xr:uid="{3A668FEC-8481-4CEA-9260-9402B4BE8C4F}">
      <text>
        <r>
          <rPr>
            <b/>
            <sz val="9"/>
            <color indexed="81"/>
            <rFont val="Segoe UI"/>
            <family val="2"/>
          </rPr>
          <t xml:space="preserve">Tabellenblätter "THG-Emissionen mit Zertifikat" | "THG-Emissionen ohne Zertifikat"
</t>
        </r>
        <r>
          <rPr>
            <sz val="9"/>
            <color indexed="81"/>
            <rFont val="Segoe UI"/>
            <family val="2"/>
          </rPr>
          <t xml:space="preserve">In diesen Tabellenblättern finden Sie von der Beschaffungsstelle vorgegeben jeweils den Leistungsgegenstand gemäß Ausschreibung ("funktionelle Einheit") und die Gesamtanzahl der zu beschaffenden funktionellen Einheiten, den Zielort der Anlieferung, die geplante Nutzungsdauer in Jahren sowie - sofern für die zu beschaffende Ware relevant - die Nutzungsdauer pro Jahr (z.B. x Tage oder x Stunden). 
Sie als Bietende prüfen, ob für den Energieverbrauch und die Treibhausgasemissionen aus der Produktion Ihrer anzubietenden Ware ein Zertifikat vorhanden ist oder nicht und wählen das entsprechende Tabellenblatt für die weiteren Dateneingaben. 
</t>
        </r>
        <r>
          <rPr>
            <b/>
            <sz val="9"/>
            <color indexed="81"/>
            <rFont val="Segoe UI"/>
            <family val="2"/>
          </rPr>
          <t xml:space="preserve">
Blatt "THG-Emissionen </t>
        </r>
        <r>
          <rPr>
            <b/>
            <u/>
            <sz val="9"/>
            <color indexed="81"/>
            <rFont val="Segoe UI"/>
            <family val="2"/>
          </rPr>
          <t>mit</t>
        </r>
        <r>
          <rPr>
            <b/>
            <sz val="9"/>
            <color indexed="81"/>
            <rFont val="Segoe UI"/>
            <family val="2"/>
          </rPr>
          <t xml:space="preserve"> Zertifikat": </t>
        </r>
        <r>
          <rPr>
            <sz val="9"/>
            <color indexed="81"/>
            <rFont val="Segoe UI"/>
            <family val="2"/>
          </rPr>
          <t xml:space="preserve">
Hier machen Sie als Bietende folgende Einträge (weitere, detailliertere Erläuterungen im Tabellenblatt): 
</t>
        </r>
        <r>
          <rPr>
            <b/>
            <sz val="9"/>
            <color indexed="81"/>
            <rFont val="Segoe UI"/>
            <family val="2"/>
          </rPr>
          <t>Phase 1: Produktion</t>
        </r>
        <r>
          <rPr>
            <sz val="9"/>
            <color indexed="81"/>
            <rFont val="Segoe UI"/>
            <family val="2"/>
          </rPr>
          <t xml:space="preserve">
-  Energieverbrauch und Treibhausgasemissionen aus der Produktion Ihrer anzubietenden Ware gemäß Zertifikatsnachweis (siehe Erläuterungen unten zu anerkannten Nachweismöglichkeiten)
</t>
        </r>
        <r>
          <rPr>
            <b/>
            <sz val="9"/>
            <color indexed="81"/>
            <rFont val="Segoe UI"/>
            <family val="2"/>
          </rPr>
          <t>Phase 2: Transport und Installation</t>
        </r>
        <r>
          <rPr>
            <sz val="9"/>
            <color indexed="81"/>
            <rFont val="Segoe UI"/>
            <family val="2"/>
          </rPr>
          <t xml:space="preserve">
- Entfernung der zu transportierenden Ware zwischen Start- und Zielort
- zu transportierendes Gesamtgewicht der anzubietenden Ware
- Transportmittel zum Zielort, Teilstrecken, Teilgewicht
- Installations- bzw. Errichtungstätigkeiten, Einsatzart, Häufigkeit
</t>
        </r>
        <r>
          <rPr>
            <b/>
            <sz val="9"/>
            <color indexed="81"/>
            <rFont val="Segoe UI"/>
            <family val="2"/>
          </rPr>
          <t>Phase 3: Nutzung und Wartung</t>
        </r>
        <r>
          <rPr>
            <sz val="9"/>
            <color indexed="81"/>
            <rFont val="Segoe UI"/>
            <family val="2"/>
          </rPr>
          <t xml:space="preserve">
- Energietyp und Verbrauch pro Jahr 
- Wartungstätigkeit und Häufigkeit während der Nutzungsdauer</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I4" authorId="0" shapeId="0" xr:uid="{AEE83E8F-85FF-44F8-9605-87FC2CC6C962}">
      <text>
        <r>
          <rPr>
            <b/>
            <sz val="9"/>
            <color indexed="81"/>
            <rFont val="Segoe UI"/>
            <family val="2"/>
          </rPr>
          <t>Tabellenblätter "THG-Emissionen mit Zertifikat" | "THG-Emissionen ohne Zertifikat"</t>
        </r>
        <r>
          <rPr>
            <sz val="9"/>
            <color indexed="81"/>
            <rFont val="Segoe UI"/>
            <family val="2"/>
          </rPr>
          <t xml:space="preserve">
In beiden Tabellenblättern tragen Sie jeweils den Leistungsgegenstand gemäß Ausschreibung ("funktionelle Einheit") und die Gesamtanzahl der zu beschaffenden funktionellen Einheiten ein. 
Tragen Sie zudem den Zielort der Anlieferung (zur Berechnung der Transportaufwendungen), die geplante Nutzungsdauer in Jahren sowie - sofern für die zu beschaffende Ware relevant - die Nutzungsdauer pro Jahr (z.B. x Tage oder x Stunden) ein. </t>
        </r>
      </text>
    </comment>
    <comment ref="I5" authorId="0" shapeId="0" xr:uid="{886F32B3-2C4D-40E0-8C4B-2C2500D1A7CC}">
      <text>
        <r>
          <rPr>
            <b/>
            <sz val="9"/>
            <color indexed="81"/>
            <rFont val="Segoe UI"/>
            <family val="2"/>
          </rPr>
          <t>Tabellenblätter "THG-Emissionen mit Zertifikat" | "THG-Emissionen ohne Zertifikat"</t>
        </r>
        <r>
          <rPr>
            <sz val="9"/>
            <color indexed="81"/>
            <rFont val="Segoe UI"/>
            <family val="2"/>
          </rPr>
          <t xml:space="preserve">
In diesen Tabellenblättern finden Sie von der Beschaffungsstelle vorgegeben jeweils den Leistungsgegenstand gemäß Ausschreibung ("funktionelle Einheit") und die Gesamtanzahl der zu beschaffenden funktionellen Einheiten, den Zielort der Anlieferung, die geplante Nutzungsdauer in Jahren sowie - sofern für die zu beschaffende Ware relevant - die Nutzungsdauer pro Jahr (z.B. x Tage oder x Stunden). 
Sie als Bietende prüfen, ob für den Energieverbrauch und die Treibhausgasemissionen aus der Produktion Ihrer anzubietenden Ware ein Zertifikat vorhanden ist oder nicht und wählen das entsprechende Tabellenblatt für die weiteren Dateneingaben. 
</t>
        </r>
        <r>
          <rPr>
            <b/>
            <sz val="9"/>
            <color indexed="81"/>
            <rFont val="Segoe UI"/>
            <family val="2"/>
          </rPr>
          <t xml:space="preserve">
Tabellenblatt THG-Emissionen </t>
        </r>
        <r>
          <rPr>
            <b/>
            <u/>
            <sz val="9"/>
            <color indexed="81"/>
            <rFont val="Segoe UI"/>
            <family val="2"/>
          </rPr>
          <t>ohne</t>
        </r>
        <r>
          <rPr>
            <b/>
            <sz val="9"/>
            <color indexed="81"/>
            <rFont val="Segoe UI"/>
            <family val="2"/>
          </rPr>
          <t xml:space="preserve"> Zertifikat: </t>
        </r>
        <r>
          <rPr>
            <sz val="9"/>
            <color indexed="81"/>
            <rFont val="Segoe UI"/>
            <family val="2"/>
          </rPr>
          <t xml:space="preserve">
Hier machen Sie als Bietende folgende Einträge (weitere, detailliertere  Erläuterungen im Tabellenblatt): 
</t>
        </r>
        <r>
          <rPr>
            <b/>
            <sz val="9"/>
            <color indexed="81"/>
            <rFont val="Segoe UI"/>
            <family val="2"/>
          </rPr>
          <t>Phase 1: Produktion</t>
        </r>
        <r>
          <rPr>
            <sz val="9"/>
            <color indexed="81"/>
            <rFont val="Segoe UI"/>
            <family val="2"/>
          </rPr>
          <t xml:space="preserve">
-  Energieverbrauch der Produktion Ihrer anzubietenden Ware und THG-Emissionswert der Energieversorgung (Strommix der finalen Fertigungsstätte)
- Die mengenmäßig relevantesten zehn Materialien (oder Stoffe/Produktionsprozesse - Auswahl über das vorhandene Dropdown-Menü) Ihrer anzubietenden Ware auf EINE funktionelle Einheit bezogen inklusive Erläuterung und Wert. 
- Ihre Eigenerklärung zu den THG-Emissionen aus der Produktion der anzubietenden Ware, um Ihr Angebot ohne Zertifikat mit anderen Angeboten mit Zertifikat vergleichen zu dürfen. Sie können die THG-Emissionen der Produktion mit Hilfe der beiden oberen Abschnitte plausibilisieren: 
THG-Emissionen (Energie) + THG-Emissionen (Material). Tipp: Sie finden beide Summanden im Tabellenblatt "Produktion" in Spalte L. Der Wert der gesamten CO2-Belastung der Produktion liegt meist ca. 10-20 % über dieser Summe der Einzelwerte. 
</t>
        </r>
        <r>
          <rPr>
            <b/>
            <sz val="9"/>
            <color indexed="81"/>
            <rFont val="Segoe UI"/>
            <family val="2"/>
          </rPr>
          <t>Phase 2: Transport und Installation</t>
        </r>
        <r>
          <rPr>
            <sz val="9"/>
            <color indexed="81"/>
            <rFont val="Segoe UI"/>
            <family val="2"/>
          </rPr>
          <t xml:space="preserve">
- Entfernung der zu transportierenden Ware zwischen Start- und Zielort
- zu transportierendes Gesamtgewicht der anzubietenden Ware
- Transportmittel zum Zielort, Teilstrecken, Teilgewicht
- Installations- bzw. Errichtungstätigkeiten, Einsatzart, Häufigkeit
</t>
        </r>
        <r>
          <rPr>
            <b/>
            <sz val="9"/>
            <color indexed="81"/>
            <rFont val="Segoe UI"/>
            <family val="2"/>
          </rPr>
          <t>Phase 3: Nutzung und Wartung</t>
        </r>
        <r>
          <rPr>
            <sz val="9"/>
            <color indexed="81"/>
            <rFont val="Segoe UI"/>
            <family val="2"/>
          </rPr>
          <t xml:space="preserve">
- Energietyp und Verbrauch pro Jahr 
- Wartungstätigkeit und Häufigkeit während der Nutzungsdauer</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F4" authorId="0" shapeId="0" xr:uid="{7CB355CD-4128-426E-9303-F32C33770AC8}">
      <text>
        <r>
          <rPr>
            <b/>
            <sz val="9"/>
            <color indexed="81"/>
            <rFont val="Segoe UI"/>
            <family val="2"/>
          </rPr>
          <t>Tabellenblätter "Ergebnis LCC inkl. CO2-Kosten" | "Ergebnis LCC ohne CO2-Kosten"</t>
        </r>
        <r>
          <rPr>
            <sz val="9"/>
            <color indexed="81"/>
            <rFont val="Segoe UI"/>
            <family val="2"/>
          </rPr>
          <t xml:space="preserve">
Legen Sie für Ihre Ausschreibung fest, in welcher Form Sie die CO2-Kosten der prognostizierten Treibhausgasemissionen bei der Angebotsbewertung berücksichtigen werden. 
</t>
        </r>
        <r>
          <rPr>
            <u/>
            <sz val="9"/>
            <color indexed="81"/>
            <rFont val="Segoe UI"/>
            <family val="2"/>
          </rPr>
          <t>Im Regelfall</t>
        </r>
        <r>
          <rPr>
            <sz val="9"/>
            <color indexed="81"/>
            <rFont val="Segoe UI"/>
            <family val="2"/>
          </rPr>
          <t xml:space="preserve"> sollten die CO2-Kosten Teil der gesamten Lebenszykluskosten sein. In diesem Fall nutzen Sie das Tabellenblatt "Ergebnis LCC inkl. CO2-Kosten", </t>
        </r>
        <r>
          <rPr>
            <b/>
            <sz val="9"/>
            <color indexed="81"/>
            <rFont val="Segoe UI"/>
            <family val="2"/>
          </rPr>
          <t>löschen das Tabellenblatt "Ergebnis LCC ohne CO2-Kosten"</t>
        </r>
        <r>
          <rPr>
            <sz val="9"/>
            <color indexed="81"/>
            <rFont val="Segoe UI"/>
            <family val="2"/>
          </rPr>
          <t xml:space="preserve"> und leeren auf dem Tabellenblatt "Punktevergabe Übersicht" die Zellen G31-G41, bevor Sie die Datei extern mit den Ausschreibungsunterlagen zur Verfügung stellen. 
</t>
        </r>
        <r>
          <rPr>
            <u/>
            <sz val="9"/>
            <color indexed="81"/>
            <rFont val="Segoe UI"/>
            <family val="2"/>
          </rPr>
          <t>Alternativ</t>
        </r>
        <r>
          <rPr>
            <sz val="9"/>
            <color indexed="81"/>
            <rFont val="Segoe UI"/>
            <family val="2"/>
          </rPr>
          <t xml:space="preserve"> können Sie die Lebenszykluskosten ohne CO2-Kosten berechnen und stattdessen die CO2-Kosten als Ökologisches Zuschlagskriterium in die Bewertung einbeziehen. In diesem Fall legen Sie im Tabellenblatt "Punktevergabe Detail" ein entsprechendes Kriterium mit Punktzahl und Gewichtung fest. Sie nutzen dann das Tabellenblatt "Ergebnis LCC ohne CO2-Kosten", </t>
        </r>
        <r>
          <rPr>
            <b/>
            <sz val="9"/>
            <color indexed="81"/>
            <rFont val="Segoe UI"/>
            <family val="2"/>
          </rPr>
          <t>löschen das Tabellenblatt "Ergebnis LCC inkl. CO2-Kosten"</t>
        </r>
        <r>
          <rPr>
            <sz val="9"/>
            <color indexed="81"/>
            <rFont val="Segoe UI"/>
            <family val="2"/>
          </rPr>
          <t xml:space="preserve"> und leeren auf dem Tabellenblatt "Punktevergabe Übersicht" die Zellen F31-F41, bevor Sie die Datei extern mit den Ausschreibungsunterlagen zur Verfügung stellen.
Im verbleibenden Ergebnis-Tabellenblatt geben Sie die spezifische Angebots-ID, Vertragslaufzeit (kann von der geplanten Nutzungsdauer der zu beschaffenden Ware abweichen), sofern relevant eine Laufzeitoption (zusätzlicher Optionszeitraum in Jahren), und den anzusetzenden CO2-Preis ein. 
</t>
        </r>
        <r>
          <rPr>
            <u/>
            <sz val="9"/>
            <color indexed="81"/>
            <rFont val="Segoe UI"/>
            <family val="2"/>
          </rPr>
          <t>CO2-Preis</t>
        </r>
        <r>
          <rPr>
            <sz val="9"/>
            <color indexed="81"/>
            <rFont val="Segoe UI"/>
            <family val="2"/>
          </rPr>
          <t>: Liegt keine hausinterne Vorgabe vor, können Sie für den Nutzungszeitraum der zu beschaffenden Ware bis einschließlich des Jahres 2026 die CO2-Preise des Bundesemissionshandels-gesetzes BEHG als Mindestpreis zugrunde legen. § 10 Abs. 2 BEHG legt für die Einführungsphase bis 2026 derzeit einen (jährlich) steigenden Festpreis bis 55 Euro und für das Jahr 2026 einen Preiskorridor von mindestens 55 und höchstens 65 Euro fest. Der festgelegte Mindestpreis liegt jedoch weit unter den real in der Zukunft zu erwartenden Größenordnungen für die volkswirtschaftlichen Kosten unterbliebenen Klimaschutzes. Diese werden vom Umweltbundesamt in der sogenannten "Methodenkonvention zur Ermittlung von Umweltkosten" deutlich höher angesetzt.</t>
        </r>
      </text>
    </comment>
    <comment ref="F5" authorId="0" shapeId="0" xr:uid="{9263AAD4-F529-4BA5-8F78-7CE8C3BE294C}">
      <text>
        <r>
          <rPr>
            <b/>
            <sz val="9"/>
            <color indexed="81"/>
            <rFont val="Segoe UI"/>
            <family val="2"/>
          </rPr>
          <t xml:space="preserve">Tabellenblätter "Ergebnis LCC inkl. CO2-Kosten" | "Ergebnis LCC ohne CO2-Kosten"
</t>
        </r>
        <r>
          <rPr>
            <sz val="9"/>
            <color indexed="81"/>
            <rFont val="Segoe UI"/>
            <family val="2"/>
          </rPr>
          <t xml:space="preserve">In diesem Blatt sind nur Einträge durch die Beschaffungsstelle vorgesehen. </t>
        </r>
        <r>
          <rPr>
            <b/>
            <sz val="9"/>
            <color indexed="81"/>
            <rFont val="Segoe UI"/>
            <family val="2"/>
          </rPr>
          <t xml:space="preserve">
</t>
        </r>
      </text>
    </comment>
  </commentList>
</comments>
</file>

<file path=xl/sharedStrings.xml><?xml version="1.0" encoding="utf-8"?>
<sst xmlns="http://schemas.openxmlformats.org/spreadsheetml/2006/main" count="4536" uniqueCount="1938">
  <si>
    <r>
      <t>Aufbau und Farbschema des LCC-CO</t>
    </r>
    <r>
      <rPr>
        <b/>
        <vertAlign val="subscript"/>
        <sz val="26"/>
        <color theme="1"/>
        <rFont val="Calibri"/>
        <family val="2"/>
        <scheme val="minor"/>
      </rPr>
      <t>2</t>
    </r>
    <r>
      <rPr>
        <b/>
        <sz val="26"/>
        <color theme="1"/>
        <rFont val="Calibri"/>
        <family val="2"/>
        <scheme val="minor"/>
      </rPr>
      <t>-Tools</t>
    </r>
  </si>
  <si>
    <t>TABELLENBLÄTTER ZUR INFORMATION</t>
  </si>
  <si>
    <t>TABELLENBLÄTTER FÜR EINGABEN &amp; ERGEBNIS</t>
  </si>
  <si>
    <t>Anleitung für Nutzende des Excel-Tools</t>
  </si>
  <si>
    <t>Punktevergabeschema</t>
  </si>
  <si>
    <t>Detailergebnisse zu Treibhausgasberechnungen im Tool</t>
  </si>
  <si>
    <t xml:space="preserve">- Anleitung für Beschaffende </t>
  </si>
  <si>
    <t>- Punktevergabe Übersicht</t>
  </si>
  <si>
    <t>- Produktion</t>
  </si>
  <si>
    <t>- Anleitung für Bietende</t>
  </si>
  <si>
    <t>- Transport + Installation</t>
  </si>
  <si>
    <t>- Nutzung</t>
  </si>
  <si>
    <t>Angaben zu Lebenszykluskosten</t>
  </si>
  <si>
    <t>- Einmalkosten</t>
  </si>
  <si>
    <t>Verwendete Emissionsfaktoren</t>
  </si>
  <si>
    <t>- Transport- und Installationskosten</t>
  </si>
  <si>
    <t>- Laufende Kosten</t>
  </si>
  <si>
    <t>- Investitionsrechnung</t>
  </si>
  <si>
    <t>(spezifische Dateneingaben durch Bietenden möglich)</t>
  </si>
  <si>
    <t>Angaben zu Treibhausgasemissionen</t>
  </si>
  <si>
    <t>- THG-Emissionen mit Zertifikat</t>
  </si>
  <si>
    <t>Impressum</t>
  </si>
  <si>
    <t>- THG-Emissionen ohne Zertifikat</t>
  </si>
  <si>
    <t>Ergebnis (LCC-CO2-Kosten) als Hilfe für Wirtschaftlichkeitsberechnung oder Zuschlagserteilung</t>
  </si>
  <si>
    <t>ANWENDUNGSZWECKE DES TOOLS</t>
  </si>
  <si>
    <t>FARBSCHEMA</t>
  </si>
  <si>
    <t>Graue Zellen: Durch Beschaffungsstelle vorzugeben bzw. auf Grundlage des eingereichten Angebots zu bewerten</t>
  </si>
  <si>
    <t>Hellblaue Zellen: Durch Bietende auszufüllen</t>
  </si>
  <si>
    <r>
      <rPr>
        <b/>
        <sz val="11"/>
        <rFont val="Calibri"/>
        <family val="2"/>
        <scheme val="minor"/>
      </rPr>
      <t>Tabellenblatt "Einmalkosten"</t>
    </r>
    <r>
      <rPr>
        <sz val="11"/>
        <rFont val="Calibri"/>
        <family val="2"/>
        <scheme val="minor"/>
      </rPr>
      <t xml:space="preserve">
Hier tragen Sie die Detailanforderungen an die zu beschaffende Ware ein ("Lastenheft")</t>
    </r>
  </si>
  <si>
    <r>
      <rPr>
        <b/>
        <sz val="11"/>
        <rFont val="Calibri"/>
        <family val="2"/>
        <scheme val="minor"/>
      </rPr>
      <t>Tabellenblatt "Laufende Kosten"</t>
    </r>
    <r>
      <rPr>
        <sz val="11"/>
        <rFont val="Calibri"/>
        <family val="2"/>
        <scheme val="minor"/>
      </rPr>
      <t xml:space="preserve">
Hier tragen Sie - sofern für die zu beschaffende Ware relevant - Ihre aktuellen Preise für die zu nutzenden Energieträger ein. </t>
    </r>
  </si>
  <si>
    <t xml:space="preserve">
</t>
  </si>
  <si>
    <t>Tabellenblatt "Punktevergabe Übersicht" und "Punktevergabe Details"</t>
  </si>
  <si>
    <t>Tabellenblatt "Einmalkosten"</t>
  </si>
  <si>
    <t>Tabellenblatt "Transport- und Installationskosten"</t>
  </si>
  <si>
    <t>Tabellenblatt "Laufende Kosten"</t>
  </si>
  <si>
    <t>Tabellenblatt "THG-Emissionen mit/ohne Zertifikat"</t>
  </si>
  <si>
    <t>Tabellenblätter "Produktion / Transport + Installation / Nutzung"</t>
  </si>
  <si>
    <t>Tabellenblätter "Emissionsfaktoren"</t>
  </si>
  <si>
    <t>LCC-CO2 - Tool</t>
  </si>
  <si>
    <t>Anleitung für BIETENDE</t>
  </si>
  <si>
    <r>
      <t>Im Folgenden wird beschrieben, wie das</t>
    </r>
    <r>
      <rPr>
        <sz val="11"/>
        <color rgb="FFFF0000"/>
        <rFont val="Calibri"/>
        <family val="2"/>
        <scheme val="minor"/>
      </rPr>
      <t xml:space="preserve"> </t>
    </r>
    <r>
      <rPr>
        <sz val="11"/>
        <rFont val="Calibri"/>
        <family val="2"/>
        <scheme val="minor"/>
      </rPr>
      <t>LCC-CO2 Tool des Umweltbundesamtes zu be</t>
    </r>
    <r>
      <rPr>
        <sz val="11"/>
        <color theme="1"/>
        <rFont val="Calibri"/>
        <family val="2"/>
        <scheme val="minor"/>
      </rPr>
      <t>füllen ist und wie es die Gesamtkosten des Beschaffungsvorhabens inklusive CO2-Kosten für die THG-Emissionen über den Lebenszyklus berechnet.</t>
    </r>
  </si>
  <si>
    <t>Grundsätzlich gilt:</t>
  </si>
  <si>
    <t>Durch Bietende auszufüllen</t>
  </si>
  <si>
    <t xml:space="preserve">Je nach Farbcodierung der Zellen sind Einträge von Ihnen als Bieter/Bieterin vorzunehmen </t>
  </si>
  <si>
    <t>Durch Beschaffungsstelle vorgegeben</t>
  </si>
  <si>
    <t>oder werden durch die Beschaffungsstelle vorgegeben.</t>
  </si>
  <si>
    <t>Tabellenblätter "Punktevergabe Übersicht" und "Punktevergabe Detail"</t>
  </si>
  <si>
    <t>### Text wird noch ergänzt ###</t>
  </si>
  <si>
    <t>Hinweise: Nur in die grauen Felder einfüllen; alle andere Felder sind nicht zu verändern</t>
  </si>
  <si>
    <t>Bei Versand an Externen, Blattchutz darauflegen (prüfen, ob Blattschutz barrierefrei ist)</t>
  </si>
  <si>
    <t>Tragen Sie die Nettopreise für die gemäß Ausschreibungsunterlagen geforderten Leistungsgegenstände ein.</t>
  </si>
  <si>
    <t>Tragen Sie die Daten und Preise für den Transport und ggf. die Installation der Leistungsgegenstände ein.</t>
  </si>
  <si>
    <t xml:space="preserve">Die Beschaffungsstelle trägt in den hellgrauen Feldern die aktuellen Preise für die verschiedenen Energietypen je Einheit ein. Die Werte für den Energieverbrauch werden automatisch übernommen aus Ihren Eingaben im Tabellenblatt "THG-Emissionen". </t>
  </si>
  <si>
    <t xml:space="preserve">Tragen Sie in den hellblauen Feldern die Wartungstätigkeit, -häufigkeiten und -kosten ein. Es ist hierbei eine Unterscheidung nach Wartungstätigkeiten durch den Bietenden gemäß Forderung in den Ausschreibungsunterlagen bzw. erforderliche Wartungstätigkeiten durch die Beschaffungsstelle selbst, durchzuführen. </t>
  </si>
  <si>
    <t>Stundenkostensätze, die nicht in den Ausschreibungsunterlagen vorgegeben sind, sind freizulassen. Hierzu wird erst in den folgenden Verhandlungsrunden zwischen Bietendem und Ausschreibungsstelle die Klärung herbeigeführt.</t>
  </si>
  <si>
    <t>Wenn Sie nichts eintragen, obwohl die Angaben in den Ausschreibungsunterlagen vorhanden sind, so trägt die Beschaffungsstelle diese Werte zur Auswertung ein.</t>
  </si>
  <si>
    <r>
      <t xml:space="preserve">Als Bietender müssen Sie zunächst prüfen, ob für die Treibhausgasemissionen Ihres Produkts ein </t>
    </r>
    <r>
      <rPr>
        <b/>
        <sz val="11"/>
        <color theme="1"/>
        <rFont val="Calibri"/>
        <family val="2"/>
        <scheme val="minor"/>
      </rPr>
      <t xml:space="preserve">Zertifikat vorhanden ist oder nicht. </t>
    </r>
    <r>
      <rPr>
        <sz val="11"/>
        <color rgb="FFFF0000"/>
        <rFont val="Calibri"/>
        <family val="2"/>
        <scheme val="minor"/>
      </rPr>
      <t xml:space="preserve"> </t>
    </r>
  </si>
  <si>
    <t>Als Zertifikat dient eine (Produkt-)Ökobilanz nach ISO 14040/44 , bei der die potenziellen THG-Emissionen entlang des Lebenszyklus betrachtet werden, eine produktbezogene Klimabilanz nach DIN EN ISO 14067:2019-02, oder eine Klimabilanz nach gleichwertigen Standards.</t>
  </si>
  <si>
    <r>
      <t>Wie in den Ausschreibungsunterlagen vorgegeben, füllen Sie bitte priorisiert das Tabellenblatt "THG-Emissionen mit Zertifikat" aus</t>
    </r>
    <r>
      <rPr>
        <b/>
        <sz val="11"/>
        <color theme="1"/>
        <rFont val="Calibri"/>
        <family val="2"/>
        <scheme val="minor"/>
      </rPr>
      <t>.</t>
    </r>
    <r>
      <rPr>
        <sz val="11"/>
        <color theme="1"/>
        <rFont val="Calibri"/>
        <family val="2"/>
        <scheme val="minor"/>
      </rPr>
      <t xml:space="preserve"> Das Tabellenblatt "THG-Emissionen ohne Zertifikat" ist dann nicht zu befüllen.</t>
    </r>
  </si>
  <si>
    <t>Es wird empfohlen sich ein Zertifikat über die Treibhausgasemissionen für jedes Ihrer verfügbaren Produkte erstellen zu lassen. Mittelfristig wird dies in allen Ausschreibungen gefordert werden.</t>
  </si>
  <si>
    <t>Wird ein Zertifikat für die Befüllung der Eingabedaten zur Ermittlung der Treibhausgasemissionen verwendet, so ist dieses (oder sind diese) als Anlage(n) beizufügen. Alternative Zertifikate werden bei Gleichwertigkeit akzeptiert, diese sind auch beizufügen.</t>
  </si>
  <si>
    <r>
      <t>Ist kein entsprechendes Zertifikat vorhanden, so ist durch eine Eigenerklärung der CO</t>
    </r>
    <r>
      <rPr>
        <vertAlign val="subscript"/>
        <sz val="11"/>
        <color theme="1"/>
        <rFont val="Calibri"/>
        <family val="2"/>
        <scheme val="minor"/>
      </rPr>
      <t>2</t>
    </r>
    <r>
      <rPr>
        <sz val="11"/>
        <color theme="1"/>
        <rFont val="Calibri"/>
        <family val="2"/>
        <scheme val="minor"/>
      </rPr>
      <t xml:space="preserve"> Wert für die Produktionsphase abzugeben. Dieser Wert wird für die Emissionsberechnung in der Phase 1: Produktion herangezogen.</t>
    </r>
  </si>
  <si>
    <t>Zur Plausibilisierung verwenden Sie die Eingabefelder im Tabellenblatt "THG-Emissionen ohne Zertifikat" in der Phase 1: Produktion.</t>
  </si>
  <si>
    <t xml:space="preserve">Auf den Tabellenblättern "Produktion", "Transport + Installation" und "Nutzung" werden dann basierend auf diesen Eingabedaten die Berechnungen durchgeführt. </t>
  </si>
  <si>
    <t>Im Tabellenblatt "Ergebnis" wird das aufsummierte Endergebnis für die Kosten der THG-Emissionen im unteren rechten Quadranten (grün umrandet) angezeigt.</t>
  </si>
  <si>
    <t>Die Produktion umfasst sämtliche Prozesse im Rahmen der Herstellung des Produktes. 
Dies inkludiert die Rohstoffextraktion, sämtliche Transporte, Herstellprozesse und die Montage am Produktionsstandort (sofern vorhanden).</t>
  </si>
  <si>
    <t>Phase 1: Produktion</t>
  </si>
  <si>
    <t>Tragen Sie die Energieverbrauch und THG-Emissionen für eine funktionelle Einheit ein.</t>
  </si>
  <si>
    <t>Phase 2: Transport und Errichtung</t>
  </si>
  <si>
    <t>Die Beschaffungsstelle trägt den Produktionsstandort oder finalen Bestimmungsort, an dem die Funktionelle Einheit zusammengebaut wird, ein.</t>
  </si>
  <si>
    <t>Tragen Sie u.a. die Transportmittel (einschließlich der Distanz und des Gewichts, das mit den entsprechenden Transportmitteln transportiert wird), sowie die Installations-/Errichtungstätigkeiten (falls vorhanden) ein.</t>
  </si>
  <si>
    <t>Phase 3: Nutzung</t>
  </si>
  <si>
    <t>Die Beschaffungsstelle trägt die Daten ein, die der Nutzungsdauer des Leistungsgegenstandes entsprechen.</t>
  </si>
  <si>
    <t xml:space="preserve">Tragen Sie den Energieverbrauch aller Wartungstätigkeiten ein, falls vorhanden. </t>
  </si>
  <si>
    <t xml:space="preserve">Auf den Tabellenblättern "Emissionsfaktoren_Stoffe", "Emissionsfaktoren_Prozesse" und "Emissionsfaktoren_Lebenszyklus" befinden sich die für die Berechnung herangezogenen Emissionsfaktoren inkl. Quellenangabe. </t>
  </si>
  <si>
    <r>
      <t xml:space="preserve">Verwenden Sie aufgrund spezifischer Eigenheiten andere Werte (Eintrag durch Bietende in den hellblauen Zellen in diesen Tabellenblättern), so ist dies durch ein </t>
    </r>
    <r>
      <rPr>
        <u/>
        <sz val="11"/>
        <color theme="1"/>
        <rFont val="Calibri"/>
        <family val="2"/>
        <scheme val="minor"/>
      </rPr>
      <t>unabhängiges Gutachten/Zertifkat</t>
    </r>
    <r>
      <rPr>
        <sz val="11"/>
        <color theme="1"/>
        <rFont val="Calibri"/>
        <family val="2"/>
        <scheme val="minor"/>
      </rPr>
      <t xml:space="preserve"> zu bestätigen. In dem Fall werden diese Werte des Bietenden für die Berechnung herangezogen. </t>
    </r>
  </si>
  <si>
    <t>Sollten Sie Werte abändern, ohne eine solche unabhängige Bestätigung beizulegen, so wird von den Beschaffungsstelle wieder der Standardwert herangezogen.</t>
  </si>
  <si>
    <t xml:space="preserve">Auf der Internetseite des Umweltbundesamtes https://www.probas.umweltbundesamt.de/datenbank/#/ finden Sie eventuell fehlende Werte für Ihr Produkt. </t>
  </si>
  <si>
    <t>Übernehmen Sie bitte den Wert für "Luftemissionen, CO2, im Reiter 3. Umweltaspekte" des jeweiligen Stoffes.</t>
  </si>
  <si>
    <r>
      <t xml:space="preserve">Sind in den Drop Down Menüs der Eingaben für Produktion, Errichtung und Nutzung Ihre spezifischen Werte </t>
    </r>
    <r>
      <rPr>
        <u/>
        <sz val="11"/>
        <rFont val="Calibri"/>
        <family val="2"/>
        <scheme val="minor"/>
      </rPr>
      <t>nicht</t>
    </r>
    <r>
      <rPr>
        <sz val="11"/>
        <rFont val="Calibri"/>
        <family val="2"/>
        <scheme val="minor"/>
      </rPr>
      <t xml:space="preserve"> angefügt, so tragen Sie bitte Ihren Stoff oder Prozess oder das spezielle Transportmittel in die hellblauen Felder auf den entsprechenden Tabellenblättern "Emissionsfaktoren" ein.</t>
    </r>
  </si>
  <si>
    <t>Der ermittelte Wert aus den im LCC-CO2-Tool aufgeführten öffentlichen Quellen wie z.B. PROBAS wird dann bekannt gegeben und genutzt.</t>
  </si>
  <si>
    <t>Für Wartungstätigkeiten mit THG-Emissionen, sind die THG-Emissionen zu addieren, die z.B. durch den Austausch von Komponenten entstehen.</t>
  </si>
  <si>
    <t xml:space="preserve">Zum Beispiel ist beim Batterietausch eines E-Omnibusses nach x Jahren nicht nur der Antransport der Batterie, sondern auch der gesamte CO2-Emissionsbetrag der Produktion der neuen Batterie zu inkludieren. </t>
  </si>
  <si>
    <t xml:space="preserve">Zu jeder Wartungstätigkeit, die sich noch nicht im Drop-Down Feld findet (und damit im Tabellenblatt "Emissionsfaktoren_Lebenszyklus") liefern Sie eine Erklärung, aus der alle Überlegungen und Zahlenwerte sowie Ihre Berechnungen hervorgehen. </t>
  </si>
  <si>
    <t>Die Daten sind durch entsprechende Nachweisunterlagen zu belegen. Bei Fragen hierzu wenden Sie Sich bitte rechtzeitig an die Ansprechperson gem. Ausschreibungsunterlagen, damit Ihnen zeitgerecht geholfen werden kann.</t>
  </si>
  <si>
    <r>
      <t>Die Beschaffungsstelle trägt den anzusetzenden CO</t>
    </r>
    <r>
      <rPr>
        <vertAlign val="subscript"/>
        <sz val="11"/>
        <rFont val="Calibri"/>
        <family val="2"/>
        <scheme val="minor"/>
      </rPr>
      <t>2</t>
    </r>
    <r>
      <rPr>
        <sz val="11"/>
        <rFont val="Calibri"/>
        <family val="2"/>
        <scheme val="minor"/>
      </rPr>
      <t>-Preis für die Monetarisierung der Treibhausgasemissionen ein; mindestens nach aktuell gültigem Wert gemäß BEHG (Brennstoffemissionshandelsgesetz), oder nach hausinterner Vorgabe.</t>
    </r>
  </si>
  <si>
    <r>
      <t>Tragen Sie Ihre Firmenbezeichnung im hellblauen Feld ein. Alle anderen Felder werden durch Berechnungen des LCC-CO2 Tools befüllt. Hier können Sie Ihr Ergebnis der Lebenszykluskosten sowie die CO</t>
    </r>
    <r>
      <rPr>
        <vertAlign val="subscript"/>
        <sz val="11"/>
        <rFont val="Calibri"/>
        <family val="2"/>
        <scheme val="minor"/>
      </rPr>
      <t>2</t>
    </r>
    <r>
      <rPr>
        <sz val="11"/>
        <rFont val="Calibri"/>
        <family val="2"/>
        <scheme val="minor"/>
      </rPr>
      <t>-Kosten der Treibhausgasemissionen ablesen.</t>
    </r>
  </si>
  <si>
    <r>
      <t>Hier finden sich die Berechnungen für das LCC-CO2 Berechnungsmodell. Sie können sich hier informieren, welche Auswirkungen verschiedene Materialien auf die CO</t>
    </r>
    <r>
      <rPr>
        <vertAlign val="subscript"/>
        <sz val="11"/>
        <rFont val="Calibri"/>
        <family val="2"/>
        <scheme val="minor"/>
      </rPr>
      <t>2</t>
    </r>
    <r>
      <rPr>
        <sz val="11"/>
        <rFont val="Calibri"/>
        <family val="2"/>
        <scheme val="minor"/>
      </rPr>
      <t xml:space="preserve">-Emissionskosten haben, bzw. wie sich diese berechnen. </t>
    </r>
  </si>
  <si>
    <t>Eingaben sind hier keine notwendig.</t>
  </si>
  <si>
    <t xml:space="preserve">In den weißen Tabellenblättern finden sich die zugrunde liegenden Emissionsfaktoren der verschiedenen Materialien und Prozesse für das LCC-CO2-Berechnungsmodell. </t>
  </si>
  <si>
    <t>Eingaben sind hier keine notwendig. Bietende können in den hellblauen Feldern spezifischere Daten ergänzen (mit Nachweis), sonstige Veränderungen sind nicht erlaubt.</t>
  </si>
  <si>
    <t>Punktevergabe Übersicht</t>
  </si>
  <si>
    <t>Legende:</t>
  </si>
  <si>
    <t>Durch Beschaffungsstelle vorgegeben bzw. auf Grundlage des eingereichten Angebots zu bewerten</t>
  </si>
  <si>
    <t>Bewertungsschema: Übersicht für Bietende</t>
  </si>
  <si>
    <t>Bewertung des Angebots des Bietenden</t>
  </si>
  <si>
    <t>Ausschlusskriterien vorhanden (ja/nein)?</t>
  </si>
  <si>
    <t>Wertungsschema</t>
  </si>
  <si>
    <t>Gewichtung Preis (%)</t>
  </si>
  <si>
    <t>Gewichtung Qualität (%)</t>
  </si>
  <si>
    <t>zu vergebende Gesamtzahl Punkte:</t>
  </si>
  <si>
    <t>Maximale Punkte Preis</t>
  </si>
  <si>
    <t>Maximale Punkte Qualität</t>
  </si>
  <si>
    <t>Gewichtung Qualitätspunkte (%): Technische Zuschlagskriterien</t>
  </si>
  <si>
    <t>Gewichtung Qualitätspunkte (%): Ökologische Zuschlagskriterien</t>
  </si>
  <si>
    <t>Wertung Preis</t>
  </si>
  <si>
    <t>Max. Punkte Preis</t>
  </si>
  <si>
    <t>Die Punkte werden wie folgt berechnet:
niedrigster Angebotspreis / abgegebener Angebotspreis x Höchstpunkte = Bewertungspunkte Preis (gerundet auf ganze Zahlen)</t>
  </si>
  <si>
    <t>Wertung Qualität: Verteilung der Qualitätspunkte</t>
  </si>
  <si>
    <t>Max. Punkte Technische Zuschlagskriterien:</t>
  </si>
  <si>
    <t>Max. Punkte Ökologische Zuschlagskriterien:</t>
  </si>
  <si>
    <t>Max. Punkte Qualität Summe:</t>
  </si>
  <si>
    <t>Bietender</t>
  </si>
  <si>
    <t>Punkte Preis</t>
  </si>
  <si>
    <t>Punkte Qualität</t>
  </si>
  <si>
    <t>Punkte Gesamt</t>
  </si>
  <si>
    <t>Angebotspreis für Vertragslaufzeit</t>
  </si>
  <si>
    <t>Energiekosten pro Jahr</t>
  </si>
  <si>
    <t>Wartungskosten pro Jahr</t>
  </si>
  <si>
    <t>Punktevergabe Details</t>
  </si>
  <si>
    <t>Durch Bietenden auszufüllen</t>
  </si>
  <si>
    <t xml:space="preserve">Bewertungsschema: Details für Bietende </t>
  </si>
  <si>
    <t>Ausschlusskriterien</t>
  </si>
  <si>
    <t>Max. Punkte</t>
  </si>
  <si>
    <t>Beurteilung Erfüllung Ja/Nein</t>
  </si>
  <si>
    <t>Bemerkung des Bietenden</t>
  </si>
  <si>
    <t>-</t>
  </si>
  <si>
    <t>Ausschlusskriterium 1</t>
  </si>
  <si>
    <t>[Bitte auswählen]</t>
  </si>
  <si>
    <t>Ausschlusskriterium 2</t>
  </si>
  <si>
    <t>Ausschlusskriterium 3</t>
  </si>
  <si>
    <t>Ausschlusskriterium 4</t>
  </si>
  <si>
    <t xml:space="preserve"> Zuschlagskriterien Qualität: Detailpunktevergabe </t>
  </si>
  <si>
    <t xml:space="preserve"> Zuschlagskriterien Qualität</t>
  </si>
  <si>
    <t>Technische Zuschlagskriterien</t>
  </si>
  <si>
    <t>Erfüllungsgrad (%)</t>
  </si>
  <si>
    <t>Erreichte Punkte</t>
  </si>
  <si>
    <t>Technisches Kriterium 1</t>
  </si>
  <si>
    <t>Technisches Kriterium 2</t>
  </si>
  <si>
    <t>Technisches Kriterium 3</t>
  </si>
  <si>
    <t>Technisches Kriterium 4</t>
  </si>
  <si>
    <t>Technisches Kriterium 5</t>
  </si>
  <si>
    <t>Technisches Kriterium 6</t>
  </si>
  <si>
    <t>Technisches Kriterium 7</t>
  </si>
  <si>
    <t>Technisches Kriterium 8</t>
  </si>
  <si>
    <t xml:space="preserve">Max. Punkte Technische Wertung </t>
  </si>
  <si>
    <t xml:space="preserve">Erreichte Gesamtpunkte
Technische Wertung </t>
  </si>
  <si>
    <t>Ökologische Zuschlagskriterien</t>
  </si>
  <si>
    <t xml:space="preserve">Ausfüllgrad des Tabellenblatts THG-Emissionen </t>
  </si>
  <si>
    <r>
      <t xml:space="preserve">Kein Eintrag erforderlich - Wert wird </t>
    </r>
    <r>
      <rPr>
        <u/>
        <sz val="11"/>
        <color theme="1"/>
        <rFont val="Calibri"/>
        <family val="2"/>
        <scheme val="minor"/>
      </rPr>
      <t>automatisch</t>
    </r>
    <r>
      <rPr>
        <sz val="11"/>
        <color theme="1"/>
        <rFont val="Calibri"/>
        <family val="2"/>
        <scheme val="minor"/>
      </rPr>
      <t xml:space="preserve"> ermittelt 
aus dem Tabellenblatt THG-Emissionen mit bzw. ohne Zertifikat</t>
    </r>
  </si>
  <si>
    <t>Ökologisches Kriterium 2</t>
  </si>
  <si>
    <t>Ökologisches Kriterium 3</t>
  </si>
  <si>
    <t>Ökologisches Kriterium 4</t>
  </si>
  <si>
    <t>Max. Punkte Ökologische Wertung</t>
  </si>
  <si>
    <t xml:space="preserve">Erreichte Gesamtpunkte
Ökologische Wertung </t>
  </si>
  <si>
    <t>Berechnung der Einmalkosten</t>
  </si>
  <si>
    <t>Beschreibung</t>
  </si>
  <si>
    <t>Lastenheft Info 3:</t>
  </si>
  <si>
    <t>Lastenheft Info 4:</t>
  </si>
  <si>
    <t>Lastenheft Info 5:</t>
  </si>
  <si>
    <t>Lastenheft Info 6:</t>
  </si>
  <si>
    <t>Lastenheft Info 7:</t>
  </si>
  <si>
    <t>Lastenheft Info 8:</t>
  </si>
  <si>
    <t>Lastenheft Info 9:</t>
  </si>
  <si>
    <t>Lastenheft Info 10:</t>
  </si>
  <si>
    <t>Lastenheft Info 11:</t>
  </si>
  <si>
    <t>Lastenheft Info 12:</t>
  </si>
  <si>
    <t>Lastenheft Info 13:</t>
  </si>
  <si>
    <t>Lastenheft Info 14:</t>
  </si>
  <si>
    <t>Lastenheft Info 15:</t>
  </si>
  <si>
    <t>Lastenheft Info 16:</t>
  </si>
  <si>
    <t>Lastenheft Info 17:</t>
  </si>
  <si>
    <t>Lastenheft Info 18:</t>
  </si>
  <si>
    <t>Lastenheft Info 19:</t>
  </si>
  <si>
    <t>Lastenheft Info 20:</t>
  </si>
  <si>
    <t>wird automatisch berechnet</t>
  </si>
  <si>
    <t>Berechnung Transport- und Installationskosten</t>
  </si>
  <si>
    <t xml:space="preserve">Lieferort und ggf. Incoterms gemäß unseren Vertragsbedingungen. </t>
  </si>
  <si>
    <t>Transportkostenanteil 1, bitte spezifizieren</t>
  </si>
  <si>
    <t>Transportkostenanteil 2, bitte spezifizieren</t>
  </si>
  <si>
    <t>Transportkostenanteil 3, bitte spezifizieren</t>
  </si>
  <si>
    <t>Installationskostenanteil 1, bitte spezifizieren</t>
  </si>
  <si>
    <t>Installationskostenanteil 2, bitte spezifizieren</t>
  </si>
  <si>
    <t>Installationskostenanteil 3, bitte spezifizieren</t>
  </si>
  <si>
    <t>Berechnung der laufenden Kosten</t>
  </si>
  <si>
    <t>Gesamtsumme laufende Kosten pro Jahr</t>
  </si>
  <si>
    <t>wird automatisch übernommen</t>
  </si>
  <si>
    <t>Prozessbezeichnung</t>
  </si>
  <si>
    <t>Strommix_DE_kWh</t>
  </si>
  <si>
    <t>Ökostrom_DE_kWh</t>
  </si>
  <si>
    <t>Heizöl_kWh</t>
  </si>
  <si>
    <t>Erdgas</t>
  </si>
  <si>
    <t>Erdgas_kWh</t>
  </si>
  <si>
    <t>Flüssiggas_kWh</t>
  </si>
  <si>
    <t>Diesel_kWh</t>
  </si>
  <si>
    <t>Benzin_kWh</t>
  </si>
  <si>
    <t>Holzpellets_kWh</t>
  </si>
  <si>
    <t>Holz</t>
  </si>
  <si>
    <t>Holz_kWh</t>
  </si>
  <si>
    <t>Biodiesel_kWh</t>
  </si>
  <si>
    <t>Bioethanol_kWh</t>
  </si>
  <si>
    <t>Heizöl extraleicht in Liter</t>
  </si>
  <si>
    <t>Heizöl_l</t>
  </si>
  <si>
    <t>Erdgas in Liter</t>
  </si>
  <si>
    <t>Erdgas_l</t>
  </si>
  <si>
    <t>Flüssiggas in Liter</t>
  </si>
  <si>
    <t>Flüssiggas_l</t>
  </si>
  <si>
    <t>Diesel in Liter</t>
  </si>
  <si>
    <t>Diesel_l</t>
  </si>
  <si>
    <t>Benzin in Liter</t>
  </si>
  <si>
    <t>Benzin_l</t>
  </si>
  <si>
    <t>Holzpellets in kg</t>
  </si>
  <si>
    <t>Holzpellets_kg</t>
  </si>
  <si>
    <t>Holz in kg</t>
  </si>
  <si>
    <t>Holz_kg</t>
  </si>
  <si>
    <t>Biodiesel in Liter</t>
  </si>
  <si>
    <t>Biodiesel_l</t>
  </si>
  <si>
    <t>Bioethanol in Liter</t>
  </si>
  <si>
    <t>Bioethanol_l</t>
  </si>
  <si>
    <t>Wartungskosten durch Bietenden pro Jahr</t>
  </si>
  <si>
    <t>Wartungstätigkeit, die durch Bietenden übernommen wird</t>
  </si>
  <si>
    <t>Kosten der Wartungstätigkeit</t>
  </si>
  <si>
    <t>Wartungskosten durch Beschaffungsstelle pro Jahr</t>
  </si>
  <si>
    <t>Wartungstätigkeit, die durch Beschaffungsstelle auszuführen ist</t>
  </si>
  <si>
    <t>Investitionsrechnung</t>
  </si>
  <si>
    <t>Durch Beschaffungsstelle vorzugeben</t>
  </si>
  <si>
    <t xml:space="preserve">Finanzmathematische Indikatoren </t>
  </si>
  <si>
    <t>Wert</t>
  </si>
  <si>
    <t>Einheit</t>
  </si>
  <si>
    <t>Quelle</t>
  </si>
  <si>
    <t>%</t>
  </si>
  <si>
    <t>https://www.destatis.de/DE/Themen/Wirtschaft/Preise/Verbraucherpreisindex/_inhalt.html</t>
  </si>
  <si>
    <t>Diskontrate (d)</t>
  </si>
  <si>
    <r>
      <t xml:space="preserve">Berechnung der THG-Emissionen </t>
    </r>
    <r>
      <rPr>
        <b/>
        <u/>
        <sz val="26"/>
        <color theme="1"/>
        <rFont val="Calibri"/>
        <family val="2"/>
        <scheme val="minor"/>
      </rPr>
      <t>mit</t>
    </r>
    <r>
      <rPr>
        <b/>
        <sz val="26"/>
        <color theme="1"/>
        <rFont val="Calibri"/>
        <family val="2"/>
        <scheme val="minor"/>
      </rPr>
      <t xml:space="preserve"> Zertifikat</t>
    </r>
  </si>
  <si>
    <t xml:space="preserve">Ausfüllgrad dieses Tabellenblattes: </t>
  </si>
  <si>
    <t>Funktionelle Einheit:</t>
  </si>
  <si>
    <t>Gesamtmenge:</t>
  </si>
  <si>
    <t>Anzahl funktioneller Einheiten, die laut Ausschreibung gefordert sind</t>
  </si>
  <si>
    <t>PHASE 1: Produktion</t>
  </si>
  <si>
    <t>Erläuterungen</t>
  </si>
  <si>
    <t>Energieverbrauch 
der Produktion</t>
  </si>
  <si>
    <t>kWh</t>
  </si>
  <si>
    <t>PHASE 2: Transport und Installation</t>
  </si>
  <si>
    <t>Zielort</t>
  </si>
  <si>
    <t>Entfernung Startort zum Zielort</t>
  </si>
  <si>
    <t>km</t>
  </si>
  <si>
    <t>Zu transportierendes Gesamtgewicht</t>
  </si>
  <si>
    <t>kg</t>
  </si>
  <si>
    <t>Transportmittel zum Zielort</t>
  </si>
  <si>
    <t>Teilstrecke</t>
  </si>
  <si>
    <t>Gewicht</t>
  </si>
  <si>
    <t>Bezeichnung</t>
  </si>
  <si>
    <t>[km]</t>
  </si>
  <si>
    <t>[kg]</t>
  </si>
  <si>
    <t>Typ 1</t>
  </si>
  <si>
    <t>Typ 2</t>
  </si>
  <si>
    <t xml:space="preserve">Alle Transportmittel verwenden die Einheit "Tonnenkilometer". Das bedeutet, </t>
  </si>
  <si>
    <t xml:space="preserve">dass das o.g. Gesamtgewicht automatisch auf die Fahrzeugtypen aufgeteilt wird. </t>
  </si>
  <si>
    <t>Typ 3</t>
  </si>
  <si>
    <t xml:space="preserve">Sie brauchen sich keine Gedanken über die Anzahl der Fahrten zu machen, </t>
  </si>
  <si>
    <t xml:space="preserve">das wird automatisch einkalkuliert. </t>
  </si>
  <si>
    <t>Typ 4</t>
  </si>
  <si>
    <t>Weitere Informationen zu Tonnenkilometern finden Sie unter:</t>
  </si>
  <si>
    <t>Typ 5</t>
  </si>
  <si>
    <t>https://de.wikipedia.org/wiki/Tonnenkilometer</t>
  </si>
  <si>
    <t>Typ 6</t>
  </si>
  <si>
    <t>Typ 7</t>
  </si>
  <si>
    <t>Installation bzw. Errichtung</t>
  </si>
  <si>
    <t>Hier erfolgt die Eingabe der Installations- bzw. Errichtungsprozesse, z.B.</t>
  </si>
  <si>
    <t>Einsatz</t>
  </si>
  <si>
    <t>Häufigkeit 
für Gesamtmenge</t>
  </si>
  <si>
    <t>Tätigkeit 1</t>
  </si>
  <si>
    <t xml:space="preserve">Anfahrt des Montagepersonals zum Zielort, </t>
  </si>
  <si>
    <t>Tätigkeit 2</t>
  </si>
  <si>
    <t>oder</t>
  </si>
  <si>
    <t>Tätigkeit 3</t>
  </si>
  <si>
    <t>Tätigkeit 4</t>
  </si>
  <si>
    <t>Tätigkeit 5</t>
  </si>
  <si>
    <t xml:space="preserve">Wenn keine Installations- oder Errichtungsprozesse notwendig sind, </t>
  </si>
  <si>
    <t>Tätigkeit 6</t>
  </si>
  <si>
    <t>Weitere Informationen zu Personenkilometern finden Sie unter:</t>
  </si>
  <si>
    <t>Tätigkeit 7</t>
  </si>
  <si>
    <t>https://de.wikipedia.org/wiki/Personenkilometer</t>
  </si>
  <si>
    <t>PHASE 3: Nutzung &amp; Wartung</t>
  </si>
  <si>
    <t>Jahr(e)</t>
  </si>
  <si>
    <t>Vorgabe der Beschaffungsstelle in Jahren</t>
  </si>
  <si>
    <t>bitte Einheit ergänzen</t>
  </si>
  <si>
    <t>Energietyp</t>
  </si>
  <si>
    <t>Energieverbrauch pro Jahr</t>
  </si>
  <si>
    <t>/Jahr</t>
  </si>
  <si>
    <r>
      <t xml:space="preserve">Hier bitte den </t>
    </r>
    <r>
      <rPr>
        <b/>
        <i/>
        <sz val="11"/>
        <rFont val="Calibri"/>
        <family val="2"/>
        <scheme val="minor"/>
      </rPr>
      <t>maximalen</t>
    </r>
    <r>
      <rPr>
        <i/>
        <sz val="11"/>
        <rFont val="Calibri"/>
        <family val="2"/>
        <scheme val="minor"/>
      </rPr>
      <t xml:space="preserve"> Energieverbrauch pro Jahr und Energietyp eingeben</t>
    </r>
  </si>
  <si>
    <t>Emissionen in der Nutzungsphase, z.B. durch Wartungstätigkeiten</t>
  </si>
  <si>
    <t>Emissionen</t>
  </si>
  <si>
    <t>kg CO2</t>
  </si>
  <si>
    <t>Ist das Produkt wartungsfrei, dann bitte bei Tätigkeit 1 "Wartungsfrei" eintragen.</t>
  </si>
  <si>
    <t>Tätigkeit 8</t>
  </si>
  <si>
    <r>
      <t xml:space="preserve">Berechnung der THG-Emissionen </t>
    </r>
    <r>
      <rPr>
        <b/>
        <u/>
        <sz val="26"/>
        <color theme="1"/>
        <rFont val="Calibri"/>
        <family val="2"/>
        <scheme val="minor"/>
      </rPr>
      <t>ohne</t>
    </r>
    <r>
      <rPr>
        <b/>
        <sz val="26"/>
        <color theme="1"/>
        <rFont val="Calibri"/>
        <family val="2"/>
        <scheme val="minor"/>
      </rPr>
      <t xml:space="preserve"> Zertifikat</t>
    </r>
  </si>
  <si>
    <t>Ausfüllgrad dieses Tabellenblatts</t>
  </si>
  <si>
    <t>Energieverbrauch der Produktion</t>
  </si>
  <si>
    <t>kWh je funktionelle Einheit</t>
  </si>
  <si>
    <r>
      <t xml:space="preserve">Rechnerisch ermittelter Wert des Energieverbrauchs für die Herstellung </t>
    </r>
    <r>
      <rPr>
        <i/>
        <u/>
        <sz val="11"/>
        <rFont val="Calibri"/>
        <family val="2"/>
        <scheme val="minor"/>
      </rPr>
      <t>einer</t>
    </r>
    <r>
      <rPr>
        <i/>
        <sz val="11"/>
        <rFont val="Calibri"/>
        <family val="2"/>
        <scheme val="minor"/>
      </rPr>
      <t xml:space="preserve"> funktionellen Einheit.</t>
    </r>
  </si>
  <si>
    <t>THG-Emissionswert der Energieversorgung</t>
  </si>
  <si>
    <r>
      <t>kg CO</t>
    </r>
    <r>
      <rPr>
        <vertAlign val="subscript"/>
        <sz val="11"/>
        <color theme="1"/>
        <rFont val="Calibri"/>
        <family val="2"/>
        <scheme val="minor"/>
      </rPr>
      <t>2</t>
    </r>
    <r>
      <rPr>
        <sz val="11"/>
        <color theme="1"/>
        <rFont val="Calibri"/>
        <family val="2"/>
        <scheme val="minor"/>
      </rPr>
      <t>/kWh</t>
    </r>
  </si>
  <si>
    <r>
      <t>Bezogen auf den Strommix, den die finale Fertigungsstätte bezieht, z.B. 0,882 kgCO</t>
    </r>
    <r>
      <rPr>
        <i/>
        <vertAlign val="subscript"/>
        <sz val="11"/>
        <rFont val="Calibri"/>
        <family val="2"/>
        <scheme val="minor"/>
      </rPr>
      <t>2</t>
    </r>
    <r>
      <rPr>
        <i/>
        <sz val="11"/>
        <rFont val="Calibri"/>
        <family val="2"/>
        <scheme val="minor"/>
      </rPr>
      <t>/kWh bei Strom vom Kohlekraftwerk, siehe Stromrechnung bzw. Angaben Ihres Stromanbieters</t>
    </r>
  </si>
  <si>
    <t>Abschnitt plausibilisieren</t>
  </si>
  <si>
    <t>Material: Zusammensetzung der Top 10 Materialien (in Bezug auf das Gewicht), auf EINE funktionelle Einheit bezogen</t>
  </si>
  <si>
    <t xml:space="preserve">Einheit </t>
  </si>
  <si>
    <t>Material 1</t>
  </si>
  <si>
    <t>Material 2</t>
  </si>
  <si>
    <r>
      <rPr>
        <i/>
        <u/>
        <sz val="11"/>
        <rFont val="Calibri"/>
        <family val="2"/>
        <scheme val="minor"/>
      </rPr>
      <t>Anmerkung</t>
    </r>
    <r>
      <rPr>
        <i/>
        <sz val="11"/>
        <rFont val="Calibri"/>
        <family val="2"/>
        <scheme val="minor"/>
      </rPr>
      <t xml:space="preserve">: Hier können die Komponenten spezifiziert werden, z.B.  </t>
    </r>
  </si>
  <si>
    <t>Material: Beton   |   Anmerkung: Treppenstufen   |  Wert: 1800 kg</t>
  </si>
  <si>
    <t>Material 3</t>
  </si>
  <si>
    <r>
      <rPr>
        <i/>
        <u/>
        <sz val="11"/>
        <rFont val="Calibri"/>
        <family val="2"/>
        <scheme val="minor"/>
      </rPr>
      <t>Einheit</t>
    </r>
    <r>
      <rPr>
        <i/>
        <sz val="11"/>
        <rFont val="Calibri"/>
        <family val="2"/>
        <scheme val="minor"/>
      </rPr>
      <t xml:space="preserve">: passt sich automatisch dem vorne ausgewählten Material/Stoff an. </t>
    </r>
  </si>
  <si>
    <t>Material 4</t>
  </si>
  <si>
    <t>Einweg-Verpackungsmaterial ist mit aufzulisten, Mehrwegverpackung nicht.</t>
  </si>
  <si>
    <t>Material 5</t>
  </si>
  <si>
    <t>Material 6</t>
  </si>
  <si>
    <t>Material 7</t>
  </si>
  <si>
    <t>Material 8</t>
  </si>
  <si>
    <t>Material 9</t>
  </si>
  <si>
    <t>Material 10</t>
  </si>
  <si>
    <t>Eigenerklärung 
THG-Emissionen 
aus der Produktion</t>
  </si>
  <si>
    <r>
      <t>kg CO</t>
    </r>
    <r>
      <rPr>
        <b/>
        <vertAlign val="subscript"/>
        <sz val="11"/>
        <color theme="1"/>
        <rFont val="Calibri"/>
        <family val="2"/>
        <scheme val="minor"/>
      </rPr>
      <t>2e</t>
    </r>
  </si>
  <si>
    <t>für eine funktionelle Einheit</t>
  </si>
  <si>
    <t xml:space="preserve">Gesamtgewicht der Liefergüter inkl. der Verpackung. </t>
  </si>
  <si>
    <t>Häufigkeit</t>
  </si>
  <si>
    <t>für Gesamtmenge</t>
  </si>
  <si>
    <t xml:space="preserve">Jahr(e) </t>
  </si>
  <si>
    <t xml:space="preserve"> </t>
  </si>
  <si>
    <t>Vertragslaufzeit in Jahren</t>
  </si>
  <si>
    <t>Summe Transport-/Installationskosten</t>
  </si>
  <si>
    <t>Transportkosten</t>
  </si>
  <si>
    <t>Installationskosten</t>
  </si>
  <si>
    <t>Kategorien</t>
  </si>
  <si>
    <t>THG [kg CO2e]</t>
  </si>
  <si>
    <t>Wartungskosten Beschaffungsstelle</t>
  </si>
  <si>
    <t>0.1</t>
  </si>
  <si>
    <t>Gesamt</t>
  </si>
  <si>
    <t>0.2</t>
  </si>
  <si>
    <t>Gesamt/Jahr</t>
  </si>
  <si>
    <t>Produktion</t>
  </si>
  <si>
    <t>Wartungskosten Bietende</t>
  </si>
  <si>
    <t>Transport &amp; Installation</t>
  </si>
  <si>
    <t>Nutzung</t>
  </si>
  <si>
    <t>1.1</t>
  </si>
  <si>
    <t>1.2</t>
  </si>
  <si>
    <t>Energie</t>
  </si>
  <si>
    <t>2.1</t>
  </si>
  <si>
    <t>2.2</t>
  </si>
  <si>
    <t>3.1</t>
  </si>
  <si>
    <t>Wartung/Instandhaltung</t>
  </si>
  <si>
    <t>3.2</t>
  </si>
  <si>
    <t>Die Produktion umfasst sämtliche Prozesse im Rahmen der Herstellung des Produktes. 
Dies beinhaltet die Rohstoffextraktion, sämtliche Transporte, Herstellprozesse und 
(sofern vorhanden) die Montage/Installation am Produktionsstandort.</t>
  </si>
  <si>
    <t>Menge</t>
  </si>
  <si>
    <t>Energie [MJ]</t>
  </si>
  <si>
    <t>Ja=1; Nein=0</t>
  </si>
  <si>
    <t>THG-Zertifikat vorhanden?</t>
  </si>
  <si>
    <t>Variante THG-Zertifikat vorhanden</t>
  </si>
  <si>
    <t>Variante THG-Zertifikat nicht vorhanden</t>
  </si>
  <si>
    <t>Anmerkung</t>
  </si>
  <si>
    <t>Stoff</t>
  </si>
  <si>
    <t>Menge/FU</t>
  </si>
  <si>
    <t>THG_Faktor</t>
  </si>
  <si>
    <t>[kg CO2-Equiv./FU]</t>
  </si>
  <si>
    <t>Energie_Faktor</t>
  </si>
  <si>
    <t>[MJ/FU]</t>
  </si>
  <si>
    <t>THG aus Energieverbrauch</t>
  </si>
  <si>
    <t>Erneuerbar</t>
  </si>
  <si>
    <t>Wasserkraft</t>
  </si>
  <si>
    <t>Biomasse</t>
  </si>
  <si>
    <t>Windkraft</t>
  </si>
  <si>
    <t>Solarenergie</t>
  </si>
  <si>
    <t>Nicht erneuerbar</t>
  </si>
  <si>
    <t>Uran</t>
  </si>
  <si>
    <t>Steinkohle</t>
  </si>
  <si>
    <t>Summe THG aus Material</t>
  </si>
  <si>
    <t>Rohöl</t>
  </si>
  <si>
    <t>Braunkohle</t>
  </si>
  <si>
    <t>THG aus Eigenerklärung</t>
  </si>
  <si>
    <r>
      <t>THG [kg CO</t>
    </r>
    <r>
      <rPr>
        <b/>
        <vertAlign val="subscript"/>
        <sz val="11"/>
        <color theme="1"/>
        <rFont val="Calibri"/>
        <family val="2"/>
        <scheme val="minor"/>
      </rPr>
      <t>2</t>
    </r>
    <r>
      <rPr>
        <b/>
        <sz val="11"/>
        <color theme="1"/>
        <rFont val="Calibri"/>
        <family val="2"/>
        <scheme val="minor"/>
      </rPr>
      <t>e]</t>
    </r>
  </si>
  <si>
    <t>Transport</t>
  </si>
  <si>
    <t>THG_faktor</t>
  </si>
  <si>
    <t>Energie_faktor</t>
  </si>
  <si>
    <t>Prozess</t>
  </si>
  <si>
    <r>
      <t>[kg CO</t>
    </r>
    <r>
      <rPr>
        <b/>
        <vertAlign val="subscript"/>
        <sz val="11"/>
        <color theme="1"/>
        <rFont val="Calibri"/>
        <family val="2"/>
        <scheme val="minor"/>
      </rPr>
      <t>2</t>
    </r>
    <r>
      <rPr>
        <b/>
        <sz val="11"/>
        <color theme="1"/>
        <rFont val="Calibri"/>
        <family val="2"/>
        <scheme val="minor"/>
      </rPr>
      <t>-Equiv./FU]</t>
    </r>
  </si>
  <si>
    <t>Tonnentransport1</t>
  </si>
  <si>
    <t>Tonnentransport2</t>
  </si>
  <si>
    <t>Tonnentransport3</t>
  </si>
  <si>
    <t>Tonnentransport4</t>
  </si>
  <si>
    <t>Tonnentransport5</t>
  </si>
  <si>
    <t>Tonnentransport6</t>
  </si>
  <si>
    <t>Tonnentransport7</t>
  </si>
  <si>
    <t>Installationstätigkeiten</t>
  </si>
  <si>
    <t>Installation 1</t>
  </si>
  <si>
    <t>Installation 2</t>
  </si>
  <si>
    <t>Installation 3</t>
  </si>
  <si>
    <t>Installation 4</t>
  </si>
  <si>
    <t>Installation 5</t>
  </si>
  <si>
    <t>Installation 6</t>
  </si>
  <si>
    <t>Installation 7</t>
  </si>
  <si>
    <t>Betriebszeit/-leistung pro Jahr</t>
  </si>
  <si>
    <t>Betriebszeit/-leistung gesamt</t>
  </si>
  <si>
    <t>Spez. Verbrauch</t>
  </si>
  <si>
    <t>Verbrauch in kWh</t>
  </si>
  <si>
    <t>Bezugsgröße</t>
  </si>
  <si>
    <t>Emissionen Wartungstätigkeiten</t>
  </si>
  <si>
    <t>Wartungstätigkeit</t>
  </si>
  <si>
    <t>Anzahl im Lebenszyklus</t>
  </si>
  <si>
    <t>Emissionsfaktoren: Stoffe &amp; Produktionsprozesse</t>
  </si>
  <si>
    <t>Material</t>
  </si>
  <si>
    <t>Stoff/Komponent</t>
  </si>
  <si>
    <t>CO2</t>
  </si>
  <si>
    <t>CH4</t>
  </si>
  <si>
    <t>N2O</t>
  </si>
  <si>
    <t>THG</t>
  </si>
  <si>
    <t>Einheit2</t>
  </si>
  <si>
    <t>Bezugseinheit</t>
  </si>
  <si>
    <t>Kommentar</t>
  </si>
  <si>
    <t>Abholzung</t>
  </si>
  <si>
    <t>Waldrodung</t>
  </si>
  <si>
    <t>kg CO2e</t>
  </si>
  <si>
    <t>MJ</t>
  </si>
  <si>
    <t>Festmeter</t>
  </si>
  <si>
    <t>Ökobilanzmodell für die Botnia-Strecke. Håkan Stripple, IVL. Die folgenden Referenzen wurden in dem Modell verwendet: Berg, S., Lindholm, EL. 2005. Energieverbrauch und Umweltauswirkungen von Forstbetrieben in Schweden. Journal of Cleaner Production 13 (2005) 33-42; 327. Hagberg L., Karlsson PE., Stripple H., Ek M., Zetterberg T., Emissionen der schwedischen Forstindustrie und Treibhausgasaufnahme. IVL B-Bericht: B1774 (2008).</t>
  </si>
  <si>
    <t>Acrylnitril-Butadien-Styrol-Copolymer</t>
  </si>
  <si>
    <t>ABS</t>
  </si>
  <si>
    <t>https://www.probas.umweltbundesamt.de/php/prozessdetails.php?id={80AFDCFA-370D-4E0F-9293-3D3798AB99DF}</t>
  </si>
  <si>
    <t>Aluminium, Europa</t>
  </si>
  <si>
    <t>https://www.probas.umweltbundesamt.de/php/prozessdetails.php?id={D67F9971-D39A-4EAB-B872-A593687A3DB1}</t>
  </si>
  <si>
    <t>Aluminium, weltweit</t>
  </si>
  <si>
    <t xml:space="preserve">Aluminium, Produktionsmix, im Werk, RER, [kg] (Nr. 1056) Ecoinvent 2.2. Mischung aus Primär- und Sekundäraluminium nach ihrem Anteil an der weltweiten Produktion. </t>
  </si>
  <si>
    <t>Asphalt, 6,5% Bitumen</t>
  </si>
  <si>
    <t>Asphalt</t>
  </si>
  <si>
    <t>Auszug aus dem EKA-Modell 2016 mit Daten von: Energieeffizienter Asphaltbelag - Ökobilanzwerkzeug EKA, 2015, Roger Lundberg NCC Roads AB, RD &amp; D ID 4930, Schwedische Verkehrsverwaltung. Sonderbericht über Rohstoffenergie, Transport und Layout gemäß IVL 2016: Überarbeitung der Umweltdaten zur Verwendung im Berechnungstool Klimaberechnung. Nr. U5696. TRV 2016/79097.</t>
  </si>
  <si>
    <t>Bauxit, Abbaubauxit</t>
  </si>
  <si>
    <t>ProBas - Prozessdetails: Xtra-AbbauBauxit-AU-2020 (umweltbundesamt.de)</t>
  </si>
  <si>
    <t>Beton, Anlage</t>
  </si>
  <si>
    <t>Beton</t>
  </si>
  <si>
    <t>Die Auswirkungen auf das Klima und den Primärenergieverbrauch wurden auf der Grundlage einer Zusammensetzung aus Baubeton von Cementa (2015) berechnet. Zement: Cementa AB, HeidelbergCement Group. Verantwortlich für das EPD-Programm: Institut Bauen und Umwelt eV (IBU). Deklarationsnummer EPD-HCG-20140186-CAD1-DE. Ballast: Aufprallbeziehung bereits für Kies hergestellt (Gewicht 1,5 Tonnen / m3). Superplasticizer und Luftporenbildner-Zusatzmittel: EPDs von IBU mit der Deklarationsnummer EPD-EFC-20150091-IAG1-EN bzw. EPD-EFC-20150086-IAG1-EN. Wasser: Thinkstep Professional Database 2016 (15.08.2016).</t>
  </si>
  <si>
    <t>Bitumen</t>
  </si>
  <si>
    <t>Eurobitumene, Lebenszyklusinventar: Bitume, 2. Auflage Juli 2012, Herausgegeben von der European Bitumen Association</t>
  </si>
  <si>
    <t>Bitumenmatte</t>
  </si>
  <si>
    <t>Bitumen Waterproofing Association, Erklärung zu Umweltprodukten in Bezug auf "Bitumendachabdichtungssysteme, System 1 vollständig in Brand gesteckt", das internationale EPD®-System.</t>
  </si>
  <si>
    <t>Blei</t>
  </si>
  <si>
    <t>ProBas - Prozessdetails: MetallBlei-DE-primär-2020 (umweltbundesamt.de)</t>
  </si>
  <si>
    <t>Blei, recycelt: Hammond, G. &amp; Jones, C., Kohlenstoff- und Energieinventar, Version 2.0 2011, University of Bath, UK</t>
  </si>
  <si>
    <t>Bodenfliesen</t>
  </si>
  <si>
    <t>Keramik</t>
  </si>
  <si>
    <t>Stk</t>
  </si>
  <si>
    <t>https://www.natursteinonline.de/fileadmin/NatursteinDaten/bauseminar2012/Bauseminar_2019/Studie-Nachhaltigkeit-Bodenbelag_krug.pdf</t>
  </si>
  <si>
    <t>Buchenholz</t>
  </si>
  <si>
    <t>Buche</t>
  </si>
  <si>
    <t>https://www.probas.umweltbundesamt.de/php/prozessdetails.php?id=%7B0E0B2938-9043-11D3-B2C8-0080C8941B49%7D</t>
  </si>
  <si>
    <t>Dach-Tonziegel</t>
  </si>
  <si>
    <t>Dachziegel</t>
  </si>
  <si>
    <t>https://www.probas.umweltbundesamt.de/php/prozessdetails.php?id={0E0B2CB4-9043-11D3-B2C8-0080C8941B49}</t>
  </si>
  <si>
    <t>Dämmung XPS</t>
  </si>
  <si>
    <t>XPS</t>
  </si>
  <si>
    <t>m3</t>
  </si>
  <si>
    <t>https://www.ursa.de/de-de/produkte/Documents/ZT-xps-epd.pdf</t>
  </si>
  <si>
    <t>Eichenholz</t>
  </si>
  <si>
    <t>Eiche</t>
  </si>
  <si>
    <t>Elektrostahl</t>
  </si>
  <si>
    <t>ProBas - Prozessdetails: MetallStahl-Elektro-DE-2020 (umweltbundesamt.de)</t>
  </si>
  <si>
    <t>EPS, Styropor</t>
  </si>
  <si>
    <t>EPS (Styropor)</t>
  </si>
  <si>
    <t>ProBas - Prozessdetails: KunststoffEPS-DE-2020 (umweltbundesamt.de)</t>
  </si>
  <si>
    <t>Erdisolation</t>
  </si>
  <si>
    <t>BVD Isover Mark Disc 38</t>
  </si>
  <si>
    <t>Ethylen</t>
  </si>
  <si>
    <t>ProBas - Prozessdetails: Chem-OrgEthylen-DE-2020 (umweltbundesamt.de)</t>
  </si>
  <si>
    <t>Explosiver Tovex</t>
  </si>
  <si>
    <t>Sprengstoff</t>
  </si>
  <si>
    <t>Ecoinvent 2.2. Sprengstoffe, tovex, zu pflanzen, CH, [kg] (# 275).</t>
  </si>
  <si>
    <t>Faschierte Laibchen</t>
  </si>
  <si>
    <t>CO2 Rechner | Klimatarier.com</t>
  </si>
  <si>
    <t>Faschiertes gemischt</t>
  </si>
  <si>
    <t>Feinblech aus Kaltwalzwerken</t>
  </si>
  <si>
    <t>Blech</t>
  </si>
  <si>
    <t>ProBas - Prozessdetails: MetallStahl-Blech-DE-2020 (umweltbundesamt.de)</t>
  </si>
  <si>
    <t>Fichtenholz</t>
  </si>
  <si>
    <t>https://www.probas.umweltbundesamt.de/php/prozessdetails.php?id={0F4E9CF3-1236-4848-BB74-CE81C3BA4C41}</t>
  </si>
  <si>
    <t>Frischbeton für Fertigteile, AUT</t>
  </si>
  <si>
    <t>Beton_Fertig</t>
  </si>
  <si>
    <t>EPD-VÖB-BETON-2015-1-ECOINVENT</t>
  </si>
  <si>
    <t>Geotextil, PP-Textil</t>
  </si>
  <si>
    <t>Geotextil</t>
  </si>
  <si>
    <t>Umweltauswirkungen durch "Öko-Profile" von PlasticsEurope, dem Handelsverband der europäischen Kunststoffindustrie. Daten von 28 Produktionseinheiten in Europa.</t>
  </si>
  <si>
    <t>Glas, gehärtet</t>
  </si>
  <si>
    <t>Glas</t>
  </si>
  <si>
    <t>Glas, gehärtet: Hammond, G. &amp; Jones, C., Inventar von Kohlenstoff &amp; Energie, Version 2.0 2011, University of Bath, UK</t>
  </si>
  <si>
    <t>Glasfaserkabel</t>
  </si>
  <si>
    <t>LIFE07 ENV / E / 000802</t>
  </si>
  <si>
    <t>Glaswolle zur Verwendung in Batterien</t>
  </si>
  <si>
    <t>Glaswolle_Bat</t>
  </si>
  <si>
    <t>ICE Version 2.0</t>
  </si>
  <si>
    <t>Granit</t>
  </si>
  <si>
    <t>Inventar von Kohlenstoff und Energie (ICE) Version 2.0, Prof. Geoff Hammond und Craig Jones, Forschungsabteilung für nachhaltige Energie (SERT), Abteilung für Maschinenbau, Universität Bath, Großbritannien</t>
  </si>
  <si>
    <t>Granitfliese, poliert</t>
  </si>
  <si>
    <t>Granitfliese</t>
  </si>
  <si>
    <t>https://www.litosonline.com/de/article/granit-und-seine-geringe-co2-bilanz-im-vergleich-zu-anderen-baumaterialien</t>
  </si>
  <si>
    <t>Halbheißer Asphalt</t>
  </si>
  <si>
    <t>Asphalt halbheiss</t>
  </si>
  <si>
    <t>Schnittholz, skandinavisches Nadelholz, roh, pflanzenentrindet, u = 70%, zu pflanzen, NORDEL, [m3] (# 2505) Ecoinvent 2.2, Schnittholz, skandinavisches Nadelholz. Durchschnittliche Daten von neun verschiedenen Sägewerken in Schweden und Finnland, die zur Gruppe Stora Enso gehören. Moderne Technologie, die heutzutage in Schweden und Finnland eingesetzt wird. Werte von Ecoinvent dürfen nicht von Organisationen verwendet oder verbreitet werden, die keine Lizenz für Ecoinvent haben</t>
  </si>
  <si>
    <t>4G/LTE oder 5G Modul</t>
  </si>
  <si>
    <t>Stück</t>
  </si>
  <si>
    <t>scope3transparent: Treibhausgasemissionen - Scope 3.1, Daten für die
Elektronikbranche und Einkäufer:innen von IT-Geräten, Version 1.0, März 2024</t>
  </si>
  <si>
    <t>Notebook - Grundgerät (Modell 2014)</t>
  </si>
  <si>
    <t>Öko-APC-Vorhaben</t>
  </si>
  <si>
    <t>All-in-One PC, 1TB, 19"</t>
  </si>
  <si>
    <t>All-in-One PC, 1TB, 21"</t>
  </si>
  <si>
    <t>All-in-One PC, 1TB, 23"</t>
  </si>
  <si>
    <t>All-in-One PC, 512GB, 19"</t>
  </si>
  <si>
    <t>All-in-One PC, 512GB, 21"</t>
  </si>
  <si>
    <t>All-in-One PC, 512GB, 23"</t>
  </si>
  <si>
    <t>AMOLED panel pro cm131</t>
  </si>
  <si>
    <t>cm²</t>
  </si>
  <si>
    <t>Anschlussbuchse für Netzwerkgeräte, USB, RJ45 u.a.</t>
  </si>
  <si>
    <t>APC - Grundgerät (Modell 2014)</t>
  </si>
  <si>
    <t>Desktop-Monitor 22"</t>
  </si>
  <si>
    <t>Desktop-PC, Mini-/Micro-Tower, 1TB</t>
  </si>
  <si>
    <t>Desktop-PC, Mini-/Micro-Tower, 2TB</t>
  </si>
  <si>
    <t>Desktop-PC, Mini-/Micro-Tower, 512GB</t>
  </si>
  <si>
    <t>Desktop-PC, Small Form Factor, 1TB</t>
  </si>
  <si>
    <t>Desktop-PC, Small Form Factor, 2TB</t>
  </si>
  <si>
    <t>Desktop-PC, Small Form Factor, 512GB</t>
  </si>
  <si>
    <t>Desktop-PC, Tower, 1TB</t>
  </si>
  <si>
    <t>Desktop-PC, Tower, 2TB</t>
  </si>
  <si>
    <t>Desktop-PC, Tower, 512GB</t>
  </si>
  <si>
    <t>Diode Automobilelektronik, diverse Größen und Spezifikationen</t>
  </si>
  <si>
    <t>Mittelwert aus etwa 280 Einzelkomponenten</t>
  </si>
  <si>
    <t>Diode für Leistungselektronik, diverse Größen und Spezifikationen</t>
  </si>
  <si>
    <t>Mittelwert aus 22 Einzelkomponenten</t>
  </si>
  <si>
    <t>Diode für Netzwerkgeräte, diverse Größen und Spezifikationen</t>
  </si>
  <si>
    <t>Mittelwert aus 19 Einzelkomponenten</t>
  </si>
  <si>
    <t>Drucker (Standgerät, A3)</t>
  </si>
  <si>
    <t>Drucker (Tischgerät, A3)</t>
  </si>
  <si>
    <t>Drucker (Tischgerät, A4)</t>
  </si>
  <si>
    <t>einfache Funksensoren zur Erfassung von Messwerten wie Druck, Temperatur, Helligkeit, etc.</t>
  </si>
  <si>
    <t>Elektrolyt- und Film-Kondensatoren für Leistungselektronik, diverse Bauformen und Spezifikationen</t>
  </si>
  <si>
    <t>Mittelwert aus etwa 400 Einzelkomponenten</t>
  </si>
  <si>
    <t>externes Netzteil, 10-12 W (für z.B. Netzwerkgeräte)</t>
  </si>
  <si>
    <t>externes Netzteil, 12-15 W (für z.B. Audiogeräte)</t>
  </si>
  <si>
    <t>externes Netzteil, 15-20 W (für z.B. Mobilgeräte)</t>
  </si>
  <si>
    <t>externes Netzteil, 20-30 W (für z.B. Laptops)</t>
  </si>
  <si>
    <t>externes Netzteil, 30-65 W (für z.B. Laptops)</t>
  </si>
  <si>
    <t>externes Netzteil, 30-65 W (z.B. universelles Ladegerät)</t>
  </si>
  <si>
    <t>externes Netzteil, 60 W (für z.B. Akku-Werkzeug)</t>
  </si>
  <si>
    <t>externes Netzteil, 6-10 W (für z.B. Mobilgeräte)</t>
  </si>
  <si>
    <t>externes Netzteil, 65-120 W (für z.B. Laptops)</t>
  </si>
  <si>
    <t>externes Netzteil, bis 6 W</t>
  </si>
  <si>
    <t>Feature Phone</t>
  </si>
  <si>
    <t>Flex Leiterplatte, ENIG-Finish, 1-lagig</t>
  </si>
  <si>
    <t>cm² Panel</t>
  </si>
  <si>
    <t xml:space="preserve">Flex Leiterplatte, ENIG-Finish, 1-lagig, beidseitig strukturiert </t>
  </si>
  <si>
    <t>FR4 Leiterplatte HAL-Finish 1-lagig</t>
  </si>
  <si>
    <t xml:space="preserve">FR4 Leiterplatte HAL-Finish 1-lagig, beidseitig strukturiert </t>
  </si>
  <si>
    <t xml:space="preserve">FR4 Leiterplatte, ENIG-Finish, 10-lagig </t>
  </si>
  <si>
    <t>FR4 Leiterplatte, ENIG-Finish, 12-lagig</t>
  </si>
  <si>
    <t>FR4 Leiterplatte, ENIG-Finish, 4-lagig</t>
  </si>
  <si>
    <t>FR4 Leiterplatte, ENIG-Finish, 6-lagig</t>
  </si>
  <si>
    <t>FR4 Leiterplatte, ENIG-Finish, 8-lagig</t>
  </si>
  <si>
    <t>Funksensoren mit Vorverarbeitung von Messdaten</t>
  </si>
  <si>
    <t>Gaming-Headset</t>
  </si>
  <si>
    <t>Gaming-Maus</t>
  </si>
  <si>
    <t>Gaming-Tastatur</t>
  </si>
  <si>
    <t>Generischer IC</t>
  </si>
  <si>
    <t>cm² Chipfläche</t>
  </si>
  <si>
    <t>IC Automobilelektronik, Durchschnitt diverse Bauformen</t>
  </si>
  <si>
    <t>Mittelwert aus etwa 2350 Einzelkomponenten</t>
  </si>
  <si>
    <t>IC für Leistungselektronik, Durchschnitt, SO, SSOP, TSSOP, QFN Bauformen</t>
  </si>
  <si>
    <t>Mittelwert aus über 300 Einzelkomponenten</t>
  </si>
  <si>
    <t>IC für Netzwerkgeräte, Durchschnitt QFP32 Bauform</t>
  </si>
  <si>
    <t>Mittelwert aus über 600 Einzelkomponenten</t>
  </si>
  <si>
    <t>IC für Netzwerkgeräte, Durchschnitt SO8 und TSSOP8 Bauformen</t>
  </si>
  <si>
    <t>Mittelwert aus 18 Einzelkomponenten</t>
  </si>
  <si>
    <t>IC, DRAM</t>
  </si>
  <si>
    <t>IC, NAND</t>
  </si>
  <si>
    <t>IC, SoC</t>
  </si>
  <si>
    <t>Induktivität Automobilelektronik, diverse Größen und Spezifikationen</t>
  </si>
  <si>
    <t>Induktivität für Leistungselektronik, diverse Größen und Spezifikationen</t>
  </si>
  <si>
    <t>Mittelwert aus 43 Einzelkomponenten</t>
  </si>
  <si>
    <t>Induktivität für Netzwerkgeräte, diverse Größen und Spezifikationen</t>
  </si>
  <si>
    <t>Mittelwert aus 46 Einzelkomponenten</t>
  </si>
  <si>
    <t>Kernnetzserver</t>
  </si>
  <si>
    <t>komplexe Funksensoren für hohe Datenströme (Audio, Video)</t>
  </si>
  <si>
    <t>Kondensator Automobilelektronik, diverse Größen und Spezifikationen</t>
  </si>
  <si>
    <t>Mittelwert aus etwa 3400 Einzelkomponenten</t>
  </si>
  <si>
    <t>Kühlkörper für WLAN-Modul</t>
  </si>
  <si>
    <t>Laptop, 1TB, 13"</t>
  </si>
  <si>
    <t>Laptop, 1TB, 14"</t>
  </si>
  <si>
    <t>Laptop, 1TB, 15"</t>
  </si>
  <si>
    <t>Laptop, 1TB, 17"</t>
  </si>
  <si>
    <t>Laptop, 256GB, 13"</t>
  </si>
  <si>
    <t>Laptop, 256GB, 14"</t>
  </si>
  <si>
    <t>Laptop, 256GB, 15"</t>
  </si>
  <si>
    <t>Laptop, 256GB, 17"</t>
  </si>
  <si>
    <t>Laptop, 512GB, 13"</t>
  </si>
  <si>
    <t>Laptop, 512GB, 14"</t>
  </si>
  <si>
    <t>Laptop, 512GB, 15"</t>
  </si>
  <si>
    <t>Laptop, 512GB, 17"</t>
  </si>
  <si>
    <t>Laptop-Akku</t>
  </si>
  <si>
    <t>LCD Display, Smartphone, pro cm131</t>
  </si>
  <si>
    <t>LCD Display, Tablet, pro cm131</t>
  </si>
  <si>
    <t>LED Automobilelektronik, diverse Größen und Spezifikationen</t>
  </si>
  <si>
    <t>Mittelwert aus etwa 220 Einzelkomponenten</t>
  </si>
  <si>
    <t>Lithium-Akku (Lithium-Cobalt-Oxid)</t>
  </si>
  <si>
    <t>Lot Sn96,5Ag3Cu0,5 (Drähte und Stäbe, 50/50 Allokation)</t>
  </si>
  <si>
    <t>kg Lotmaterial</t>
  </si>
  <si>
    <t>Lot Sn96,5Ag3Cu0,5 (Drähte und Stäbe, primär)</t>
  </si>
  <si>
    <t>Lot Sn96,5Ag3Cu0,5 (Drähte und Stäbe, sekundär)</t>
  </si>
  <si>
    <t>Lot Sn96,5Ag3Cu0,5 (Stangen, 50/50 Allokation)</t>
  </si>
  <si>
    <t>Lot Sn96,5Ag3Cu0,5 (Stangen, primär)</t>
  </si>
  <si>
    <t>Lot Sn96,5Ag3Cu0,5 (Stangen, sekundär)</t>
  </si>
  <si>
    <t>Lot Sn97Cu3 (Drähte und Stäbe, 50/50 Allokation)</t>
  </si>
  <si>
    <t>Lot Sn97Cu3 (Drähte und Stäbe, primär)</t>
  </si>
  <si>
    <t>Lot Sn97Cu3 (Drähte und Stäbe, sekundär)</t>
  </si>
  <si>
    <t>Lot Sn97Cu3 (Stangen, 50/50 Allokation)</t>
  </si>
  <si>
    <t>Lot Sn97Cu3 (Stangen, primär)</t>
  </si>
  <si>
    <t>Lot Sn97Cu3 (Stangen, sekundär)</t>
  </si>
  <si>
    <t>Lot Sn99,3Cu0,7 (Drähte und Stäbe, 50/50 Allokation)</t>
  </si>
  <si>
    <t>Lot Sn99,3Cu0,7 (Drähte und Stäbe, primär)</t>
  </si>
  <si>
    <t>Lot Sn99,3Cu0,7 (Drähte und Stäbe, sekundär)</t>
  </si>
  <si>
    <t>Lot Sn99,3Cu0,7 (Stangen, 50/50 Allokation)</t>
  </si>
  <si>
    <t>Lot Sn99,3Cu0,7 (Stangen, primär)</t>
  </si>
  <si>
    <t>Lot Sn99,3Cu0,7 (Stangen, sekundär)</t>
  </si>
  <si>
    <t>Lot Sn99,9 (Drähte und Stäbe, 50/50 Allokation)</t>
  </si>
  <si>
    <t>Lot Sn99,9 (Drähte und Stäbe, primär)</t>
  </si>
  <si>
    <t>Lot Sn99,9 (Drähte und Stäbe, sekundär)</t>
  </si>
  <si>
    <t>Lot Sn99,9 (Stangen, 50/50 Allokation)</t>
  </si>
  <si>
    <t>Lot Sn99,9 (Stangen, primär)</t>
  </si>
  <si>
    <t>Lot Sn99,9 (Stangen, sekundär)</t>
  </si>
  <si>
    <t>Lot SnCu0,7Ni0,05Ge0,005 (AOX755) (Drähte und Stäbe, 50/50 Allokation)</t>
  </si>
  <si>
    <t>Lot SnCu0,7Ni0,05Ge0,005 (AOX755) (Drähte und Stäbe, primär)</t>
  </si>
  <si>
    <t>Lot SnCu0,7Ni0,05Ge0,005 (AOX755) (Drähte und Stäbe, sekundär)</t>
  </si>
  <si>
    <t>Lot SnCu0,7Ni0,05Ge0,005 (AOX755) (Stangen, 50/50 Allokation)</t>
  </si>
  <si>
    <t>Lot SnCu0,7Ni0,05Ge0,005 (AOX755) (Stangen, primär)</t>
  </si>
  <si>
    <t>Lot SnCu0,7Ni0,05Ge0,005 (AOX755) (Stangen, sekundär)</t>
  </si>
  <si>
    <t>Maus - APC Peripheriegerät</t>
  </si>
  <si>
    <t>Maus, drahtlos</t>
  </si>
  <si>
    <t>Maus, kabelgebunden</t>
  </si>
  <si>
    <t>Mikrocontroller Automobilelektronik (inkl. Flash-Speicher)</t>
  </si>
  <si>
    <t>Mittelwert aus 161 Einzelkomponenten (ohne Mikrocontroller)</t>
  </si>
  <si>
    <t>Mikrocontroller für Leistungselektronik, LQFP</t>
  </si>
  <si>
    <t>Mittelwert aus 31 Einzelkomponenten</t>
  </si>
  <si>
    <t>MLCC-Kondensator für Leistungselektronik, diverse Größen und Spezifikationen</t>
  </si>
  <si>
    <t>Mittelwert aus 14 Einzelkomponenten</t>
  </si>
  <si>
    <t>MLCC-Kondensator für Netzwerkgeräte, diverse Größen und Spezifikationen</t>
  </si>
  <si>
    <t>Monitor, 20"</t>
  </si>
  <si>
    <t>Monitor, 22"</t>
  </si>
  <si>
    <t>Monitor, 24"</t>
  </si>
  <si>
    <t>Monitor, 27"</t>
  </si>
  <si>
    <t>Monitor, 32"</t>
  </si>
  <si>
    <t>Monitor, 40"</t>
  </si>
  <si>
    <t>Mini PC - Grundgerät (Modell 2014)</t>
  </si>
  <si>
    <t>Mini PC/Notebook - Grundgerät (Modell 2014)</t>
  </si>
  <si>
    <t>Multifunktionsdrucker (Standgerät, A3)</t>
  </si>
  <si>
    <t>Multifunktionsdrucker (Standgerät, A4)</t>
  </si>
  <si>
    <t>Multifunktionsdrucker (Tischgerät, A3)</t>
  </si>
  <si>
    <t>Multifunktionsdrucker (Tischgerät, A4)</t>
  </si>
  <si>
    <t>Notebook - Peripheriegerät</t>
  </si>
  <si>
    <t>NdFeB Magnet</t>
  </si>
  <si>
    <t>NiMH Batterie (AAA)</t>
  </si>
  <si>
    <t>Optical Network Unit (Transport- und Kernnetz)</t>
  </si>
  <si>
    <t>Pads für drahtloses Laden mobiler Endgeräte (ohne Netzteil)</t>
  </si>
  <si>
    <t>Desktop PC - Grundgerät (Modell 2014)</t>
  </si>
  <si>
    <t>Desktop PC/Mini PC - Grundgerät (Modell 2014)</t>
  </si>
  <si>
    <t>PC</t>
  </si>
  <si>
    <t>St</t>
  </si>
  <si>
    <t>UBA Deutschland 2018; UBA Deutschland 2012</t>
  </si>
  <si>
    <t>Belichtung Innenlagen (HDI)</t>
  </si>
  <si>
    <t>Prozessdurchlauf, pro 21" x 24" Panel</t>
  </si>
  <si>
    <t>scope3transparent: Treibhausgasemissionen - Scope 3.1, Daten für die
Elektronikbranche und Einkäufer:innen von IT-Geräten, Version 1.0, März 2078</t>
  </si>
  <si>
    <t>Fertigung in China, einschl. Energie, ohne Medien und Overhead</t>
  </si>
  <si>
    <t>scope3transparent: Treibhausgasemissionen - Scope 3.1, Daten für die
Elektronikbranche und Einkäufer:innen von IT-Geräten, Version 1.0, März 2026</t>
  </si>
  <si>
    <t>Fertigung in Deutschland, einschl. Energie, ohne Medien und Overhead</t>
  </si>
  <si>
    <t>scope3transparent: Treibhausgasemissionen - Scope 3.1, Daten für die
Elektronikbranche und Einkäufer:innen von IT-Geräten, Version 1.0, März 2052</t>
  </si>
  <si>
    <t>Fertigung in der Europäischen Union, einschl. Energie, ohne Medien und Overhead</t>
  </si>
  <si>
    <t>Bohrung Registrierung (HDI)</t>
  </si>
  <si>
    <t>scope3transparent: Treibhausgasemissionen - Scope 3.1, Daten für die
Elektronikbranche und Einkäufer:innen von IT-Geräten, Version 1.0, März 2081</t>
  </si>
  <si>
    <t>Fertigung in China, einschl. Energie und Werkzeuge, ohne Medien und Overhead</t>
  </si>
  <si>
    <t>scope3transparent: Treibhausgasemissionen - Scope 3.1, Daten für die
Elektronikbranche und Einkäufer:innen von IT-Geräten, Version 1.0, März 2029</t>
  </si>
  <si>
    <t>Fertigung in Deutschland, einschl. Energie und Werkzeuge, ohne Medien und Overhead</t>
  </si>
  <si>
    <t>scope3transparent: Treibhausgasemissionen - Scope 3.1, Daten für die
Elektronikbranche und Einkäufer:innen von IT-Geräten, Version 1.0, März 2055</t>
  </si>
  <si>
    <t>Fertigung in der Europäischen Union, einschl. Energie und Werkzeuge, ohne Medien und Overhead</t>
  </si>
  <si>
    <t>Entwickeln, Ätzen, Strippen (HDI, Außenlagen)</t>
  </si>
  <si>
    <t>scope3transparent: Treibhausgasemissionen - Scope 3.1, Daten für die
Elektronikbranche und Einkäufer:innen von IT-Geräten, Version 1.0, März 2091</t>
  </si>
  <si>
    <t>Fertigung in China, einschl. Energie und Prozesschemikalien, ohne Core-Material, Medien und Overhead</t>
  </si>
  <si>
    <t>scope3transparent: Treibhausgasemissionen - Scope 3.1, Daten für die
Elektronikbranche und Einkäufer:innen von IT-Geräten, Version 1.0, März 2039</t>
  </si>
  <si>
    <t>Fertigung in Deutschland, einschl. Energie und Prozesschemikalien, ohne Core-Material, Medien und Overhead</t>
  </si>
  <si>
    <t>scope3transparent: Treibhausgasemissionen - Scope 3.1, Daten für die
Elektronikbranche und Einkäufer:innen von IT-Geräten, Version 1.0, März 2065</t>
  </si>
  <si>
    <t>Fertigung in der Europäischen Union, einschl. Energie und Prozesschemikalien, ohne Core-Material, Medien und Overhead</t>
  </si>
  <si>
    <t>Entwickeln, Ätzen, Strippen (HDI, Innenlagen)</t>
  </si>
  <si>
    <t>scope3transparent: Treibhausgasemissionen - Scope 3.1, Daten für die
Elektronikbranche und Einkäufer:innen von IT-Geräten, Version 1.0, März 2079</t>
  </si>
  <si>
    <t>Fertigung in China, einschl. Energie und Prozesschemikalien, ohne Medien und Overhead</t>
  </si>
  <si>
    <t>scope3transparent: Treibhausgasemissionen - Scope 3.1, Daten für die
Elektronikbranche und Einkäufer:innen von IT-Geräten, Version 1.0, März 2027</t>
  </si>
  <si>
    <t>Fertigung in Deutschland, einschl. Energie und Prozesschemikalien, ohne Medien und Overhead</t>
  </si>
  <si>
    <t>scope3transparent: Treibhausgasemissionen - Scope 3.1, Daten für die
Elektronikbranche und Einkäufer:innen von IT-Geräten, Version 1.0, März 2053</t>
  </si>
  <si>
    <t>Fertigung in der Europäischen Union, einschl. Energie und Prozesschemikalien, ohne Medien und Overhead</t>
  </si>
  <si>
    <t>Flying Probe Test (HDI)</t>
  </si>
  <si>
    <t>scope3transparent: Treibhausgasemissionen - Scope 3.1, Daten für die
Elektronikbranche und Einkäufer:innen von IT-Geräten, Version 1.0, März 2102</t>
  </si>
  <si>
    <t>Fertigung in China, einschl. Energie, ohne Overhead</t>
  </si>
  <si>
    <t>scope3transparent: Treibhausgasemissionen - Scope 3.1, Daten für die
Elektronikbranche und Einkäufer:innen von IT-Geräten, Version 1.0, März 2050</t>
  </si>
  <si>
    <t>Fertigung in Deutschland, einschl. Energie, ohne Overhead</t>
  </si>
  <si>
    <t>scope3transparent: Treibhausgasemissionen - Scope 3.1, Daten für die
Elektronikbranche und Einkäufer:innen von IT-Geräten, Version 1.0, März 2076</t>
  </si>
  <si>
    <t>Fertigung in der Europäischen Union, einschl. Energie, ohne Overhead</t>
  </si>
  <si>
    <t>Galvanische Kupferabscheidung / Durchkontaktierung (HDI)</t>
  </si>
  <si>
    <t>scope3transparent: Treibhausgasemissionen - Scope 3.1, Daten für die
Elektronikbranche und Einkäufer:innen von IT-Geräten, Version 1.0, März 2088</t>
  </si>
  <si>
    <t>scope3transparent: Treibhausgasemissionen - Scope 3.1, Daten für die
Elektronikbranche und Einkäufer:innen von IT-Geräten, Version 1.0, März 2036</t>
  </si>
  <si>
    <t>scope3transparent: Treibhausgasemissionen - Scope 3.1, Daten für die
Elektronikbranche und Einkäufer:innen von IT-Geräten, Version 1.0, März 2062</t>
  </si>
  <si>
    <t>Hochdruckspülen (HDI)</t>
  </si>
  <si>
    <t>scope3transparent: Treibhausgasemissionen - Scope 3.1, Daten für die
Elektronikbranche und Einkäufer:innen von IT-Geräten, Version 1.0, März 2101</t>
  </si>
  <si>
    <t>scope3transparent: Treibhausgasemissionen - Scope 3.1, Daten für die
Elektronikbranche und Einkäufer:innen von IT-Geräten, Version 1.0, März 2049</t>
  </si>
  <si>
    <t>scope3transparent: Treibhausgasemissionen - Scope 3.1, Daten für die
Elektronikbranche und Einkäufer:innen von IT-Geräten, Version 1.0, März 2075</t>
  </si>
  <si>
    <t>Konturbehandlung (HDI)</t>
  </si>
  <si>
    <t>scope3transparent: Treibhausgasemissionen - Scope 3.1, Daten für die
Elektronikbranche und Einkäufer:innen von IT-Geräten, Version 1.0, März 2084</t>
  </si>
  <si>
    <t>scope3transparent: Treibhausgasemissionen - Scope 3.1, Daten für die
Elektronikbranche und Einkäufer:innen von IT-Geräten, Version 1.0, März 2032</t>
  </si>
  <si>
    <t>scope3transparent: Treibhausgasemissionen - Scope 3.1, Daten für die
Elektronikbranche und Einkäufer:innen von IT-Geräten, Version 1.0, März 2058</t>
  </si>
  <si>
    <t>Konturfräsen (HDI)</t>
  </si>
  <si>
    <t>scope3transparent: Treibhausgasemissionen - Scope 3.1, Daten für die
Elektronikbranche und Einkäufer:innen von IT-Geräten, Version 1.0, März 2100</t>
  </si>
  <si>
    <t>scope3transparent: Treibhausgasemissionen - Scope 3.1, Daten für die
Elektronikbranche und Einkäufer:innen von IT-Geräten, Version 1.0, März 2048</t>
  </si>
  <si>
    <t>scope3transparent: Treibhausgasemissionen - Scope 3.1, Daten für die
Elektronikbranche und Einkäufer:innen von IT-Geräten, Version 1.0, März 2074</t>
  </si>
  <si>
    <t>Lagenaufbau und Laminierpressen (HDI)</t>
  </si>
  <si>
    <t>scope3transparent: Treibhausgasemissionen - Scope 3.1, Daten für die
Elektronikbranche und Einkäufer:innen von IT-Geräten, Version 1.0, März 2083</t>
  </si>
  <si>
    <t>Fertigung in China, einschl. Energie, ohne Prepreg-Material, Medien und Overhead</t>
  </si>
  <si>
    <t>scope3transparent: Treibhausgasemissionen - Scope 3.1, Daten für die
Elektronikbranche und Einkäufer:innen von IT-Geräten, Version 1.0, März 2031</t>
  </si>
  <si>
    <t>Fertigung in Deutschland, einschl. Energie, ohne Prepreg-Material, Medien und Overhead</t>
  </si>
  <si>
    <t>scope3transparent: Treibhausgasemissionen - Scope 3.1, Daten für die
Elektronikbranche und Einkäufer:innen von IT-Geräten, Version 1.0, März 2057</t>
  </si>
  <si>
    <t>Fertigung in der Europäischen Union, einschl. Energie, ohne Prepreg-Material, Medien und Overhead</t>
  </si>
  <si>
    <t>Laserdirektbelichtung (HDI)</t>
  </si>
  <si>
    <t>scope3transparent: Treibhausgasemissionen - Scope 3.1, Daten für die
Elektronikbranche und Einkäufer:innen von IT-Geräten, Version 1.0, März 2090</t>
  </si>
  <si>
    <t>scope3transparent: Treibhausgasemissionen - Scope 3.1, Daten für die
Elektronikbranche und Einkäufer:innen von IT-Geräten, Version 1.0, März 2038</t>
  </si>
  <si>
    <t>scope3transparent: Treibhausgasemissionen - Scope 3.1, Daten für die
Elektronikbranche und Einkäufer:innen von IT-Geräten, Version 1.0, März 2064</t>
  </si>
  <si>
    <t>Lötstoppmaske: Belichtung (HDI)</t>
  </si>
  <si>
    <t>scope3transparent: Treibhausgasemissionen - Scope 3.1, Daten für die
Elektronikbranche und Einkäufer:innen von IT-Geräten, Version 1.0, März 2094</t>
  </si>
  <si>
    <t>IT-Prozess:Lötstoppmaske: Belichtung (HDI):Fertigung in DE</t>
  </si>
  <si>
    <t>scope3transparent: Treibhausgasemissionen - Scope 3.1, Daten für die
Elektronikbranche und Einkäufer:innen von IT-Geräten, Version 1.0, März 2042</t>
  </si>
  <si>
    <t>scope3transparent: Treibhausgasemissionen - Scope 3.1, Daten für die
Elektronikbranche und Einkäufer:innen von IT-Geräten, Version 1.0, März 2068</t>
  </si>
  <si>
    <t>Lötstoppmaske: Beschichtung (HDI)</t>
  </si>
  <si>
    <t>scope3transparent: Treibhausgasemissionen - Scope 3.1, Daten für die
Elektronikbranche und Einkäufer:innen von IT-Geräten, Version 1.0, März 2093</t>
  </si>
  <si>
    <t>scope3transparent: Treibhausgasemissionen - Scope 3.1, Daten für die
Elektronikbranche und Einkäufer:innen von IT-Geräten, Version 1.0, März 2041</t>
  </si>
  <si>
    <t>scope3transparent: Treibhausgasemissionen - Scope 3.1, Daten für die
Elektronikbranche und Einkäufer:innen von IT-Geräten, Version 1.0, März 2067</t>
  </si>
  <si>
    <t>Lötstoppmaske: Entwicklung (HDI)</t>
  </si>
  <si>
    <t>scope3transparent: Treibhausgasemissionen - Scope 3.1, Daten für die
Elektronikbranche und Einkäufer:innen von IT-Geräten, Version 1.0, März 2095</t>
  </si>
  <si>
    <t>scope3transparent: Treibhausgasemissionen - Scope 3.1, Daten für die
Elektronikbranche und Einkäufer:innen von IT-Geräten, Version 1.0, März 2043</t>
  </si>
  <si>
    <t>scope3transparent: Treibhausgasemissionen - Scope 3.1, Daten für die
Elektronikbranche und Einkäufer:innen von IT-Geräten, Version 1.0, März 2069</t>
  </si>
  <si>
    <t>Lötstoppmaske: Vorreinigen (HDI)</t>
  </si>
  <si>
    <t>scope3transparent: Treibhausgasemissionen - Scope 3.1, Daten für die
Elektronikbranche und Einkäufer:innen von IT-Geräten, Version 1.0, März 2092</t>
  </si>
  <si>
    <t>scope3transparent: Treibhausgasemissionen - Scope 3.1, Daten für die
Elektronikbranche und Einkäufer:innen von IT-Geräten, Version 1.0, März 2040</t>
  </si>
  <si>
    <t>scope3transparent: Treibhausgasemissionen - Scope 3.1, Daten für die
Elektronikbranche und Einkäufer:innen von IT-Geräten, Version 1.0, März 2066</t>
  </si>
  <si>
    <t>Oberflächenbehandlung (HDI)</t>
  </si>
  <si>
    <t>scope3transparent: Treibhausgasemissionen - Scope 3.1, Daten für die
Elektronikbranche und Einkäufer:innen von IT-Geräten, Version 1.0, März 2082</t>
  </si>
  <si>
    <t>scope3transparent: Treibhausgasemissionen - Scope 3.1, Daten für die
Elektronikbranche und Einkäufer:innen von IT-Geräten, Version 1.0, März 2030</t>
  </si>
  <si>
    <t>scope3transparent: Treibhausgasemissionen - Scope 3.1, Daten für die
Elektronikbranche und Einkäufer:innen von IT-Geräten, Version 1.0, März 2056</t>
  </si>
  <si>
    <t>Plasmaätzen (HDI)</t>
  </si>
  <si>
    <t>scope3transparent: Treibhausgasemissionen - Scope 3.1, Daten für die
Elektronikbranche und Einkäufer:innen von IT-Geräten, Version 1.0, März 2097</t>
  </si>
  <si>
    <t>scope3transparent: Treibhausgasemissionen - Scope 3.1, Daten für die
Elektronikbranche und Einkäufer:innen von IT-Geräten, Version 1.0, März 2045</t>
  </si>
  <si>
    <t>scope3transparent: Treibhausgasemissionen - Scope 3.1, Daten für die
Elektronikbranche und Einkäufer:innen von IT-Geräten, Version 1.0, März 2071</t>
  </si>
  <si>
    <t>Reinigen / Entgraten (HDI)</t>
  </si>
  <si>
    <t>scope3transparent: Treibhausgasemissionen - Scope 3.1, Daten für die
Elektronikbranche und Einkäufer:innen von IT-Geräten, Version 1.0, März 2087</t>
  </si>
  <si>
    <t>scope3transparent: Treibhausgasemissionen - Scope 3.1, Daten für die
Elektronikbranche und Einkäufer:innen von IT-Geräten, Version 1.0, März 2035</t>
  </si>
  <si>
    <t>scope3transparent: Treibhausgasemissionen - Scope 3.1, Daten für die
Elektronikbranche und Einkäufer:innen von IT-Geräten, Version 1.0, März 2061</t>
  </si>
  <si>
    <t>Röntgenbohren (HDI, Durchkontaktierungen)</t>
  </si>
  <si>
    <t>scope3transparent: Treibhausgasemissionen - Scope 3.1, Daten für die
Elektronikbranche und Einkäufer:innen von IT-Geräten, Version 1.0, März 2085</t>
  </si>
  <si>
    <t>scope3transparent: Treibhausgasemissionen - Scope 3.1, Daten für die
Elektronikbranche und Einkäufer:innen von IT-Geräten, Version 1.0, März 2033</t>
  </si>
  <si>
    <t>scope3transparent: Treibhausgasemissionen - Scope 3.1, Daten für die
Elektronikbranche und Einkäufer:innen von IT-Geräten, Version 1.0, März 2059</t>
  </si>
  <si>
    <t>Scannen (HDI)</t>
  </si>
  <si>
    <t>scope3transparent: Treibhausgasemissionen - Scope 3.1, Daten für die
Elektronikbranche und Einkäufer:innen von IT-Geräten, Version 1.0, März 2086</t>
  </si>
  <si>
    <t>scope3transparent: Treibhausgasemissionen - Scope 3.1, Daten für die
Elektronikbranche und Einkäufer:innen von IT-Geräten, Version 1.0, März 2034</t>
  </si>
  <si>
    <t>scope3transparent: Treibhausgasemissionen - Scope 3.1, Daten für die
Elektronikbranche und Einkäufer:innen von IT-Geräten, Version 1.0, März 2060</t>
  </si>
  <si>
    <t>Schablonendruck (HDI)</t>
  </si>
  <si>
    <t>scope3transparent: Treibhausgasemissionen - Scope 3.1, Daten für die
Elektronikbranche und Einkäufer:innen von IT-Geräten, Version 1.0, März 2099</t>
  </si>
  <si>
    <t>scope3transparent: Treibhausgasemissionen - Scope 3.1, Daten für die
Elektronikbranche und Einkäufer:innen von IT-Geräten, Version 1.0, März 2047</t>
  </si>
  <si>
    <t>scope3transparent: Treibhausgasemissionen - Scope 3.1, Daten für die
Elektronikbranche und Einkäufer:innen von IT-Geräten, Version 1.0, März 2073</t>
  </si>
  <si>
    <t>Stromlos Nickel/Gold-Abscheidung</t>
  </si>
  <si>
    <t>scope3transparent: Treibhausgasemissionen - Scope 3.1, Daten für die
Elektronikbranche und Einkäufer:innen von IT-Geräten, Version 1.0, März 2098</t>
  </si>
  <si>
    <t>scope3transparent: Treibhausgasemissionen - Scope 3.1, Daten für die
Elektronikbranche und Einkäufer:innen von IT-Geräten, Version 1.0, März 2046</t>
  </si>
  <si>
    <t>scope3transparent: Treibhausgasemissionen - Scope 3.1, Daten für die
Elektronikbranche und Einkäufer:innen von IT-Geräten, Version 1.0, März 2072</t>
  </si>
  <si>
    <t>Test, AOI (HDI)</t>
  </si>
  <si>
    <t>scope3transparent: Treibhausgasemissionen - Scope 3.1, Daten für die
Elektronikbranche und Einkäufer:innen von IT-Geräten, Version 1.0, März 2080</t>
  </si>
  <si>
    <t>scope3transparent: Treibhausgasemissionen - Scope 3.1, Daten für die
Elektronikbranche und Einkäufer:innen von IT-Geräten, Version 1.0, März 2028</t>
  </si>
  <si>
    <t>scope3transparent: Treibhausgasemissionen - Scope 3.1, Daten für die
Elektronikbranche und Einkäufer:innen von IT-Geräten, Version 1.0, März 2054</t>
  </si>
  <si>
    <t>Vorreinigung / Fotolack laminieren (HDI)</t>
  </si>
  <si>
    <t>scope3transparent: Treibhausgasemissionen - Scope 3.1, Daten für die
Elektronikbranche und Einkäufer:innen von IT-Geräten, Version 1.0, März 2089</t>
  </si>
  <si>
    <t>scope3transparent: Treibhausgasemissionen - Scope 3.1, Daten für die
Elektronikbranche und Einkäufer:innen von IT-Geräten, Version 1.0, März 2037</t>
  </si>
  <si>
    <t>scope3transparent: Treibhausgasemissionen - Scope 3.1, Daten für die
Elektronikbranche und Einkäufer:innen von IT-Geräten, Version 1.0, März 2063</t>
  </si>
  <si>
    <t>Vorreinigung / Laminieren Innenlagen (HDI)</t>
  </si>
  <si>
    <t>scope3transparent: Treibhausgasemissionen - Scope 3.1, Daten für die
Elektronikbranche und Einkäufer:innen von IT-Geräten, Version 1.0, März 2077</t>
  </si>
  <si>
    <t>scope3transparent: Treibhausgasemissionen - Scope 3.1, Daten für die
Elektronikbranche und Einkäufer:innen von IT-Geräten, Version 1.0, März 2025</t>
  </si>
  <si>
    <t>scope3transparent: Treibhausgasemissionen - Scope 3.1, Daten für die
Elektronikbranche und Einkäufer:innen von IT-Geräten, Version 1.0, März 2051</t>
  </si>
  <si>
    <t>Vorreinigung Oberflächenbeschichtung (HDI)</t>
  </si>
  <si>
    <t>scope3transparent: Treibhausgasemissionen - Scope 3.1, Daten für die
Elektronikbranche und Einkäufer:innen von IT-Geräten, Version 1.0, März 2096</t>
  </si>
  <si>
    <t>scope3transparent: Treibhausgasemissionen - Scope 3.1, Daten für die
Elektronikbranche und Einkäufer:innen von IT-Geräten, Version 1.0, März 2044</t>
  </si>
  <si>
    <t>scope3transparent: Treibhausgasemissionen - Scope 3.1, Daten für die
Elektronikbranche und Einkäufer:innen von IT-Geräten, Version 1.0, März 2070</t>
  </si>
  <si>
    <t>Prozessor für Netzwerkgeräte, BGA</t>
  </si>
  <si>
    <t>Mittelwert aus 30 Einzelkomponenten</t>
  </si>
  <si>
    <t>Radio Network Controller (Transport- und Kernnetz)</t>
  </si>
  <si>
    <t>Router / Gateway (Transport- und Kernnetz)</t>
  </si>
  <si>
    <t>Scanner (Tischgerät, A3)</t>
  </si>
  <si>
    <t>Scanner (Tischgerät, A4)</t>
  </si>
  <si>
    <t>Schnurlostelefon (mit Ladeschale)</t>
  </si>
  <si>
    <t>Sensor Automobilelektronik, diverse Größen und Spezifikationen</t>
  </si>
  <si>
    <t>SIM-Karte</t>
  </si>
  <si>
    <t>Smartphone (Einsteigermodell)</t>
  </si>
  <si>
    <t>Smartphone (High-End)</t>
  </si>
  <si>
    <t>Smartphone (Mittelklasse)</t>
  </si>
  <si>
    <t>SMD-Widerstand Automobilelektronik, diverse Größen und Spezifikationen</t>
  </si>
  <si>
    <t>Mittelwert aus etwa 150 Einzelkomponenten</t>
  </si>
  <si>
    <t>SMD-Widerstand für Leistungselektronik, diverse Größen und Spezifikationen</t>
  </si>
  <si>
    <t>Mittelwert aus 55 Einzelkomponenten</t>
  </si>
  <si>
    <t>SMD-Widerstand für Netzwerkgeräte, diverse Größen und Spezifikationen</t>
  </si>
  <si>
    <t>Mittelwert aus etwa 60 Einzelkomponenten</t>
  </si>
  <si>
    <t xml:space="preserve">Solid State Drive (SSD) </t>
  </si>
  <si>
    <t>Standard-Headset</t>
  </si>
  <si>
    <t>Switch (Transport- und Kernnetz)</t>
  </si>
  <si>
    <t>Tablet</t>
  </si>
  <si>
    <t>Tastatur, drahtlos</t>
  </si>
  <si>
    <t>Tastatur, kabelgebunden</t>
  </si>
  <si>
    <t>Transistor Automobilelektronik, diverse Größen und Spezifikationen</t>
  </si>
  <si>
    <t>Mittelwert aus 29 Einzelkomponenten</t>
  </si>
  <si>
    <t>Transistor für Leistungselektronik, Durchschnitt DFN, SOT Bauformen</t>
  </si>
  <si>
    <t>Mittelwert aus 11 Einzelkomponenten</t>
  </si>
  <si>
    <t>Transistor für Netzwerkgeräte, Durchschnitt SO-8, SOIC 24, SOT23 Bauformen</t>
  </si>
  <si>
    <t>Mittelwert aus 5 Einzelkomponenten</t>
  </si>
  <si>
    <t>WLAN-Modul</t>
  </si>
  <si>
    <t>Kalk</t>
  </si>
  <si>
    <t>Branntkalk, in Stücken, lose, im Werk, CH, [kg] (# 474) Ecoinvent 2.2. Beinhaltet den Kalzinierungsprozess. Ebenfalls enthalten ist der Stromverbrauch zum Vorheizen des Schweröls und ein Teil der gesamten Heizenergie für "Produktion" und "Verwaltung". In der Infrastruktur enthaltene Ausrüstung: 2 vertikale Öfen; Nicht enthalten ist die Verwendung feuerfester Steine, da keine Daten verfügbar sind. Nur die gemessenen Emissionen sind enthalten. Werte von Ecoinvent dürfen nicht von Organisationen verwendet oder verbreitet werden, die keine Lizenz für Ecoinvent haben</t>
  </si>
  <si>
    <t>Kalter Asphalt</t>
  </si>
  <si>
    <t>Asphalt kalt</t>
  </si>
  <si>
    <t>Kies (Gewicht 1,5 Tonnen / m3)</t>
  </si>
  <si>
    <t>Kies</t>
  </si>
  <si>
    <t>Dokumentation des Moduls zur Berechnung des Energieverbrauchs und der Treibhausgasemissionen in EFFEKT. SINTEF Technology and Society, Projekt 60R085, 2011 &amp; Methode zur Berechnung des Energieverbrauchs und der Treibhausgasemissionen für Straßenprojekte. Die norwegische öffentliche Straßenverwaltung, Bericht 2009/11</t>
  </si>
  <si>
    <t>Kren</t>
  </si>
  <si>
    <t>Meerrettich | EAT SMARTER</t>
  </si>
  <si>
    <t>Kühl-Gefrier-Kombination</t>
  </si>
  <si>
    <t>Kunststoffe Plastik - generisch</t>
  </si>
  <si>
    <t>Kunststoff</t>
  </si>
  <si>
    <t>https://www.probas.umweltbundesamt.de/php/prozessdetails.php?id={B11C6B31-A5B4-11D3-B42D-FED95173DC12}</t>
  </si>
  <si>
    <t>Kupfer</t>
  </si>
  <si>
    <t>Europäisches Kupferinstitut, Kupferblech, http://www.kupferinstitut.de/</t>
  </si>
  <si>
    <t>ProBas - Prozessdetails: MetallKupfer-DE-primär-2020 (umweltbundesamt.de)</t>
  </si>
  <si>
    <t>Leichter Klinker (Lichtfüllmaterial)</t>
  </si>
  <si>
    <t>Klinker leicht</t>
  </si>
  <si>
    <t>Ecoinvent 2.2, Streckton, zu pflanzen, DE, [kg] (# 480), Schweizerisches Zentrum für Lebenszyklusinventare. Werte von Ecoinvent dürfen nicht von Organisationen verwendet oder verbreitet werden, die keine Lizenz für Ecoinvent haben.</t>
  </si>
  <si>
    <t>Leimholz</t>
  </si>
  <si>
    <t>Südliches Laminat AS 2014, Umwelterklärung ISO 14025 / ISO21930, epd-norge.no. Die Quelldaten wurden durch Entfernen von Kohlendioxid verarbeitet.</t>
  </si>
  <si>
    <t>Lithium-Ionen-Batterie</t>
  </si>
  <si>
    <t>LiOnBatterie</t>
  </si>
  <si>
    <t>https://de.statista.com/statistik/daten/studie/1074324/umfrage/zusammensetzung-der-THG-Emissionen-bei-der-herstellung-von-e-autobatterien</t>
  </si>
  <si>
    <t>Ananas, Dose</t>
  </si>
  <si>
    <t>Ananas, frisch</t>
  </si>
  <si>
    <t>Apfel</t>
  </si>
  <si>
    <t>Bier</t>
  </si>
  <si>
    <t>l</t>
  </si>
  <si>
    <t>https://oe1.orf.at/artikel/274414/Der-oekologische-Fussabdruck-von-Bier</t>
  </si>
  <si>
    <t>Bulgur</t>
  </si>
  <si>
    <t>https://www.klimatarier.com/at/CO2_Rechner</t>
  </si>
  <si>
    <t>Butter</t>
  </si>
  <si>
    <t>Buttermilch 0,5 ltr</t>
  </si>
  <si>
    <t>L</t>
  </si>
  <si>
    <t>Couscous</t>
  </si>
  <si>
    <t>Eier</t>
  </si>
  <si>
    <t>Eisbergsalat frisch</t>
  </si>
  <si>
    <t>Endivien</t>
  </si>
  <si>
    <t>Erbsen</t>
  </si>
  <si>
    <t>Fenchel</t>
  </si>
  <si>
    <t>Feta</t>
  </si>
  <si>
    <t>Frischkäse</t>
  </si>
  <si>
    <t>Frühlingszwiebel</t>
  </si>
  <si>
    <t>Geflügelfleisch</t>
  </si>
  <si>
    <t>UBA Deutschland 2012</t>
  </si>
  <si>
    <t>Gelbe Rüben</t>
  </si>
  <si>
    <t>Gemüse</t>
  </si>
  <si>
    <t>Grillhuhn</t>
  </si>
  <si>
    <t>Grillhuhn TK</t>
  </si>
  <si>
    <t>Grüner Salat/ Häuptelsalat</t>
  </si>
  <si>
    <t>Gurken</t>
  </si>
  <si>
    <t>Haltbar-Milch 3,5% Fett, TetraPack 1 Lt.</t>
  </si>
  <si>
    <t>Hering</t>
  </si>
  <si>
    <t>Honig</t>
  </si>
  <si>
    <t>Joghurt</t>
  </si>
  <si>
    <t>Kaffee</t>
  </si>
  <si>
    <t>https://www.fr.de/wissen/beim-kaffee-faengt-co2-ausstoss-11478061.html</t>
  </si>
  <si>
    <t>Kartoffeln</t>
  </si>
  <si>
    <t>Käse</t>
  </si>
  <si>
    <t>Kichererbsen</t>
  </si>
  <si>
    <t>Kiwi</t>
  </si>
  <si>
    <t xml:space="preserve">Knoblauch frisch </t>
  </si>
  <si>
    <t>Knoblauch | EAT SMARTER</t>
  </si>
  <si>
    <t>Kohlrabi</t>
  </si>
  <si>
    <t>Kokosmilch ca 1 lt</t>
  </si>
  <si>
    <t>Koriander</t>
  </si>
  <si>
    <t>Koriander | EAT SMARTER</t>
  </si>
  <si>
    <t>Milch, Kuhmilch</t>
  </si>
  <si>
    <t>Linsen, Dose</t>
  </si>
  <si>
    <t xml:space="preserve">Linsen, getrocknet </t>
  </si>
  <si>
    <t>Lollo bianco</t>
  </si>
  <si>
    <t>Lollo rosso</t>
  </si>
  <si>
    <t>Lollo verde</t>
  </si>
  <si>
    <t>Mandarinen</t>
  </si>
  <si>
    <t>Mandarinen | EAT SMARTER</t>
  </si>
  <si>
    <t>Margarine</t>
  </si>
  <si>
    <t>Mehl</t>
  </si>
  <si>
    <t>Melanzani</t>
  </si>
  <si>
    <t>Mischbrot</t>
  </si>
  <si>
    <t>Mozzarella</t>
  </si>
  <si>
    <t>Nudeln</t>
  </si>
  <si>
    <t>Nudeln, Vollkorn</t>
  </si>
  <si>
    <t>Obst</t>
  </si>
  <si>
    <t>Oliven</t>
  </si>
  <si>
    <t>Orange</t>
  </si>
  <si>
    <t>Pfirsich Dose</t>
  </si>
  <si>
    <t>Pfirsich frisch</t>
  </si>
  <si>
    <t>Rapsöl</t>
  </si>
  <si>
    <t>Reis</t>
  </si>
  <si>
    <t>Rindfleisch_essbareTeile</t>
  </si>
  <si>
    <t>Rindfleisch_bruttogewicht</t>
  </si>
  <si>
    <t>Rosinen</t>
  </si>
  <si>
    <t>Rote Rüben frisch</t>
  </si>
  <si>
    <t>Rote Rüben gekocht Vakumiert</t>
  </si>
  <si>
    <t>Rotkraut</t>
  </si>
  <si>
    <t>Rotkraut geschnitten</t>
  </si>
  <si>
    <t>Rucola</t>
  </si>
  <si>
    <t>Salat-Mix</t>
  </si>
  <si>
    <t>Salz (NaCl)</t>
  </si>
  <si>
    <t>Tyréns, 2016. Ökobilanz Klimaauswirkung Winter Streusalz. Bericht 2016-02-12. Tyréns, Anna Pantze, mündliche Mitteilung über unterstützende Daten für Tyréns Bericht. Berechnungen in Gabi nach IVL 2016: Überarbeitung von Umweltdaten zur Verwendung im Berechnungstool Klimaberechnung. Nr. U5696. TRV 2016/79097.</t>
  </si>
  <si>
    <t>Sauerkraut</t>
  </si>
  <si>
    <t>Sauerkraut | EAT SMARTER</t>
  </si>
  <si>
    <t>Sauerrahm 20%</t>
  </si>
  <si>
    <t>Schweinefleisch</t>
  </si>
  <si>
    <t>Softdrink</t>
  </si>
  <si>
    <t>CocaCola Deutschland, Nachhaltigkeitsbericht 2019</t>
  </si>
  <si>
    <t>Spitzkohl</t>
  </si>
  <si>
    <t>Süßkartoffeln</t>
  </si>
  <si>
    <t>Tofu natur</t>
  </si>
  <si>
    <t>Tomaten</t>
  </si>
  <si>
    <t>Vogerlsalat</t>
  </si>
  <si>
    <t>Wassermelone</t>
  </si>
  <si>
    <t>Wein</t>
  </si>
  <si>
    <t>https://www.lwg.bayern.de/weinbau/087354/index.php</t>
  </si>
  <si>
    <t>Weintrauben</t>
  </si>
  <si>
    <t>Weißkraut</t>
  </si>
  <si>
    <t>Weizen</t>
  </si>
  <si>
    <t>Wirsing</t>
  </si>
  <si>
    <t>Wurst</t>
  </si>
  <si>
    <t>Zitrone</t>
  </si>
  <si>
    <t>Zucchini</t>
  </si>
  <si>
    <t>Zucker</t>
  </si>
  <si>
    <t>Zwiebeln</t>
  </si>
  <si>
    <t>Mangan</t>
  </si>
  <si>
    <t>ProBas - Prozessdetails: MetallMangan-DE-2020 (umweltbundesamt.de)</t>
  </si>
  <si>
    <t>Metall, Sonstige</t>
  </si>
  <si>
    <t>Metall</t>
  </si>
  <si>
    <t>https://www.winnipeg.ca/finance/findata/matmgt/documents/2012/682-2012/682-2012_Appendix_H-WSTP_South_End_Plant_Process_Selection_Report/Appendix%207.pdf</t>
  </si>
  <si>
    <t>Mittel für Kraftstoffe, Strom, Wärme</t>
  </si>
  <si>
    <t>J. Gode, F. Martinsson, L. Hagberg, A. Öman, J. Höglund, D. Palm (2011). Environmental Fact Book 2011 - Geschätzte Emissionsfaktoren für Kraftstoffe, Strom, Wärme und Verkehr. Värmeforsk Service AB, Stockholm, Schweden.</t>
  </si>
  <si>
    <t>Neoprenelastomer</t>
  </si>
  <si>
    <t>Plastics Europe, verarbeitet von H Stripple 2010 in der Ökobilanz für die Botanikbahn</t>
  </si>
  <si>
    <t>Nickel</t>
  </si>
  <si>
    <t>ProBas - Prozessdetails: MetallNickel-DE-2020 (umweltbundesamt.de)</t>
  </si>
  <si>
    <t>Oxygen- bzw. Sauerstoff- bzw. Blasstahlwerk</t>
  </si>
  <si>
    <t>Sauerstoffstahl</t>
  </si>
  <si>
    <t>ProBas - Prozessdetails: MetallStahl-Oxygen-DE-2020 (umweltbundesamt.de)</t>
  </si>
  <si>
    <t>Papier, neu</t>
  </si>
  <si>
    <t>https://www.papiernetz.de/informationen/nachhaltigkeitsrechner/</t>
  </si>
  <si>
    <t>Papier, recycled</t>
  </si>
  <si>
    <t>Pappe für Verpackung</t>
  </si>
  <si>
    <t>Pappe</t>
  </si>
  <si>
    <t>https://www.probas.umweltbundesamt.de/php/prozessdetails.php?id={0E0B2B9D-9043-11D3-B2C8-0080C8941B49}</t>
  </si>
  <si>
    <t>Polyamid, PA</t>
  </si>
  <si>
    <t>Polyamid</t>
  </si>
  <si>
    <t>Daten aus "Öko-Profilen der europäischen Kunststoffindustrie" (PlasticsEurope).</t>
  </si>
  <si>
    <t>Polyester</t>
  </si>
  <si>
    <t>Umweltauswirkungen durch "Öko-Profile" von PlasticsEurope, dem Handelsverband der europäischen Kunststoffindustrie. Durchschnittliche Daten für die Herstellung von amorphem PET.</t>
  </si>
  <si>
    <t>Polyethylen, HDPE</t>
  </si>
  <si>
    <t>HDPE</t>
  </si>
  <si>
    <t>ProBas - Prozessdetails: Chem-OrgHDPE-DE-2020 (umweltbundesamt.de)</t>
  </si>
  <si>
    <t>Polyethylen, LDPE</t>
  </si>
  <si>
    <t>LDPE</t>
  </si>
  <si>
    <t>ProBas - Prozessdetails: Chem-OrgLDPE-DE-2020 (umweltbundesamt.de)</t>
  </si>
  <si>
    <t>Polypropylen, PP, durch Dampfpyrolyse von Naphta</t>
  </si>
  <si>
    <t>Polypropylen, dampfpyrolysiert</t>
  </si>
  <si>
    <t>ProBas - Prozessdetails: Chem-OrgPropylen-DE-2020 (umweltbundesamt.de)</t>
  </si>
  <si>
    <t>Polypropylen, PP, durch Polimerisation</t>
  </si>
  <si>
    <t>Polypropylen, polimerisiert</t>
  </si>
  <si>
    <t>ProBas - Prozessdetails: Chem-OrgPP-DE-2020 (umweltbundesamt.de)</t>
  </si>
  <si>
    <t>Polystyrol-Polymerisation</t>
  </si>
  <si>
    <t>Polystyrol, PS</t>
  </si>
  <si>
    <t>ProBas - Prozessdetails: Chem-OrgPS-DE-2020 (umweltbundesamt.de)</t>
  </si>
  <si>
    <t>Polyurethan</t>
  </si>
  <si>
    <t>PUR-Hartschaum</t>
  </si>
  <si>
    <t>ProBas - Prozessdetails: KunststoffPUR-Hartschaum-DE-2020 (umweltbundesamt.de)</t>
  </si>
  <si>
    <t>Polyvinylchlorid (Emulsionsverfahren)</t>
  </si>
  <si>
    <t>PVC (Emulsion)</t>
  </si>
  <si>
    <t>ProBas - Prozessdetails: Chem-OrgPVC(Emulsion)-DE-2020 (umweltbundesamt.de)</t>
  </si>
  <si>
    <t>Polyvinylchlorid (Masseverfahren)</t>
  </si>
  <si>
    <t>PVC (Masse)</t>
  </si>
  <si>
    <t>ProBas - Prozessdetails: Chem-OrgPVC(Masse)-DE-2020 (umweltbundesamt.de)</t>
  </si>
  <si>
    <t>Polyvinylchlorid (Suspensionsverfahren)</t>
  </si>
  <si>
    <t>PVC (Suspension)</t>
  </si>
  <si>
    <t>ProBas - Prozessdetails: Chem-OrgPVC(Suspens)-DE-2020 (umweltbundesamt.de)</t>
  </si>
  <si>
    <t>Schwefelsäure</t>
  </si>
  <si>
    <t>Datenbank LCA Food DK</t>
  </si>
  <si>
    <t>Silikon</t>
  </si>
  <si>
    <t>Spanplatte</t>
  </si>
  <si>
    <t>https://www.probas.umweltbundesamt.de/php/prozessdetails.php?id=%7BA4227C48-C799-4A17-AC4B-8A5988F135D1%7D</t>
  </si>
  <si>
    <t>Spezialglas</t>
  </si>
  <si>
    <t>Spülmaschine</t>
  </si>
  <si>
    <t>Stahl verzinkt (1.87) der Voest (2,63)</t>
  </si>
  <si>
    <t>Schienenstahl</t>
  </si>
  <si>
    <t>Stahl verzinkt (1.87; 26.30); Voest (2.63; 22.85)</t>
  </si>
  <si>
    <t>Stahl, allgemeiner Wert, EU-Durchschnitt</t>
  </si>
  <si>
    <t>Stahl allg</t>
  </si>
  <si>
    <t>Stahl: Hammond, G. &amp; Jones, C., Inventar von Kohlenstoff &amp; Energie, Version 2.0 2011, University of Bath, UK., Basierend auf den Ökobilanzdaten der World Steel Association (Worldsteel)</t>
  </si>
  <si>
    <t>Stahl, allgemeiner Wert, EU-Durchschnitt, verzinkt</t>
  </si>
  <si>
    <t>Stahl verzinkt</t>
  </si>
  <si>
    <t>Siehe: Stahl, allgemeiner Wert, EU-Durchschnitt + Zinkbeschichtung, Teile, RER, [m2] (Nr. 1181) (umgerechnet in kg Stahl) Ecoinvent 2.2. Die Umweltauswirkungen umfassen die Prozessschritte Entfetten, Oberflächenvorbereitung, Feuerverzinkung und Endbehandlung. Für Chemikalien und Zink wurden 100 km Transport mit 32T-LKW gewogen. Es wird davon ausgegangen, dass dabei Brauchwasser im Werk erzeugt wird. Werte von Ecoinvent dürfen nicht von Organisationen verwendet oder verbreitet werden, die keine Lizenzen für Ecoinvent haben</t>
  </si>
  <si>
    <t>Stahl, Bewehrungsstäbe</t>
  </si>
  <si>
    <t>Stahl Bewehrung</t>
  </si>
  <si>
    <t>Europäische Referenz Life-Cycle Database (ELCD), Stahlbewehrung, Hochofen- und Lichtbogenofenroute, Produktionsmix, im Werk GLO S.</t>
  </si>
  <si>
    <t>Stahl, Verstärkungsdraht</t>
  </si>
  <si>
    <t>Stahl Verstärkung</t>
  </si>
  <si>
    <t>Der Emissionsfaktor und die Primärenergie bestehen aus zwei getrennten Datensätzen, von denen sich einer auf die Stahlproduktion bezieht (Europäische Referenz-Lebenszyklusdatenbank (ELCD), Stahlbewehrung, Hochofen- und Lichtbogenofenroute, Produktionsmix im Werk GLO S) und einer auf den Prozess. Einfädeln des Stahls in Verstärkungsdraht (Ecoinvent 2.2-Daten, Drahtziehen, Stahl, RER, [kg] (Nr. 1179), Schweizerisches Zentrum für Lebenszyklusinventare). Werte von Ecoinvent dürfen nicht von Organisationen verwendet oder verbreitet werden, die keine Lizenz für Ecoinvent haben.</t>
  </si>
  <si>
    <t>Stahlblech</t>
  </si>
  <si>
    <t>https://www.probas.umweltbundesamt.de/php/prozessdetails.php?id={41C90396-116F-4D69-884F-F80CBC015C72}</t>
  </si>
  <si>
    <t>Steine-Erden-Ziegel</t>
  </si>
  <si>
    <t>Mauerziegel</t>
  </si>
  <si>
    <t>https://www.probas.umweltbundesamt.de/php/prozessdetails.php?id={0E0B2CBA-9043-11D3-B2C8-0080C8941B49}</t>
  </si>
  <si>
    <t>Styrol zur Herstellung von Isolatoren</t>
  </si>
  <si>
    <t>Styrol</t>
  </si>
  <si>
    <t>Die Daten stammen aus den Öko-Profilen der europäischen Kunststoffindustrie (PlasticsEurope).</t>
  </si>
  <si>
    <t>Synthesekautschuk (Ballastmatte)</t>
  </si>
  <si>
    <t>Synthesekautschuk</t>
  </si>
  <si>
    <t>Ecoinvent 2.2 Daten, Synthesekautschuk, zu pflanzen, RER, [kg] (# 1847), Schweizerisches Zentrum für Lebenszyklusinventare. Werte von Ecoinvent dürfen nicht von Organisationen verwendet oder verbreitet werden, die keine Lizenz für Ecoinvent haben.</t>
  </si>
  <si>
    <t>Tankbeschichtung</t>
  </si>
  <si>
    <t>Tastatur</t>
  </si>
  <si>
    <t>Tastatur - APC Peripheriegerät</t>
  </si>
  <si>
    <t>Toaster</t>
  </si>
  <si>
    <t>Transformator-Öl</t>
  </si>
  <si>
    <t>Öl Transformator</t>
  </si>
  <si>
    <t>Lebenszyklusdaten für norwegisches Öl und Gas, KK Bakkane, 2002.</t>
  </si>
  <si>
    <t>Verstärkung aus Stahl, Edelstahl und Edelstahl</t>
  </si>
  <si>
    <t>Edelstahl</t>
  </si>
  <si>
    <t>Chromstahl 18/8, zu pflanzen, RER, [kg] (# 1072) Ecoinvent 2.2. Repräsentiert den Durchschnitt des weltweiten und europäischen Produktionsmix. Dies entspricht vermutlich dem Verbrauchsmix in Europa. Mischung aus unterschiedlich produzierten Stählen und Warmwalzen. Werte von Ecoinvent dürfen nicht von Organisationen verwendet oder verbreitet werden, die keine Lizenz für Ecoinvent haben</t>
  </si>
  <si>
    <t>Verzinktes Stahlblech</t>
  </si>
  <si>
    <t>Blech verzinkt</t>
  </si>
  <si>
    <t>ProBas - Prozessdetails: MetallStahl-Blech-verzinkt-DE-2020 (umweltbundesamt.de)</t>
  </si>
  <si>
    <t>Warmwalzstahl</t>
  </si>
  <si>
    <t>ProBas - Prozessdetails: MetallStahl-WarmWalz-DE-2020 (umweltbundesamt.de)</t>
  </si>
  <si>
    <t>Wäschetrockner</t>
  </si>
  <si>
    <t>Waschmaschine</t>
  </si>
  <si>
    <t>Zellplastik, expandiertes Polystyrol (leichtes Füllmaterial)</t>
  </si>
  <si>
    <t>Polystyrol</t>
  </si>
  <si>
    <t>Zement</t>
  </si>
  <si>
    <t>ProBas - Prozessdetails: Steine-ErdenZement-DE-2020 (umweltbundesamt.de)</t>
  </si>
  <si>
    <t>Zement (CEM I)</t>
  </si>
  <si>
    <t>CEM I</t>
  </si>
  <si>
    <t>Cementa AB, HeidelbergCement Group. Verantwortlich für das EPD-Programm: Institut Bauen und Umwelt eV (IBU), Deklarationsnummer: EPD-HCG-20140186-CAD1-DE. Erklärung gültig bis 29.10.2019.</t>
  </si>
  <si>
    <t>Zement (CEM II)</t>
  </si>
  <si>
    <t>CEM II</t>
  </si>
  <si>
    <t>Umweltdatenblatt gemäß EN 15804, Bauzement Standardzement CEM II / A-LL 42.5 R, gemäß EN 197-1, Cementa AB, HeidelbergCement Group.</t>
  </si>
  <si>
    <t>Zementplatte</t>
  </si>
  <si>
    <t>Inventar von Kohlenstoff und Energie (ICE) Version 2.0, Prof. Geoff Hammond und Craig Jones, Forschungsabteilung für nachhaltige Energie (SERT), Abteilung für Maschinenbau, Universität Bath, Großbritannien.</t>
  </si>
  <si>
    <t>Zink aus Zinkerzverhüttung</t>
  </si>
  <si>
    <t>Zink</t>
  </si>
  <si>
    <t>ProBas - Prozessdetails: MetallZink-DE-2020 (umweltbundesamt.de)</t>
  </si>
  <si>
    <t>Eingabe des Bietenden, siehe Tabellenblatt Emissionsfaktoren</t>
  </si>
  <si>
    <t xml:space="preserve">Emissionsfaktoren: Prozesse </t>
  </si>
  <si>
    <t>[g]</t>
  </si>
  <si>
    <t>Heizwert</t>
  </si>
  <si>
    <t>Dichte</t>
  </si>
  <si>
    <t>NOx</t>
  </si>
  <si>
    <t>PM10</t>
  </si>
  <si>
    <t>Einheit3</t>
  </si>
  <si>
    <t>spez. Verbrauch</t>
  </si>
  <si>
    <t>KEA (kumulierter Energieaufwand)</t>
  </si>
  <si>
    <t>Einheit4</t>
  </si>
  <si>
    <t>Mobilität</t>
  </si>
  <si>
    <t>Energieträger</t>
  </si>
  <si>
    <t>kWh/l</t>
  </si>
  <si>
    <t>kg/l</t>
  </si>
  <si>
    <r>
      <t>kg CO</t>
    </r>
    <r>
      <rPr>
        <vertAlign val="subscript"/>
        <sz val="11"/>
        <color theme="1"/>
        <rFont val="Calibri"/>
        <family val="2"/>
        <scheme val="minor"/>
      </rPr>
      <t>2</t>
    </r>
    <r>
      <rPr>
        <sz val="11"/>
        <color theme="1"/>
        <rFont val="Calibri"/>
        <family val="2"/>
        <scheme val="minor"/>
      </rPr>
      <t>e/l</t>
    </r>
  </si>
  <si>
    <t>UBA 2024</t>
  </si>
  <si>
    <t>kWh/kg</t>
  </si>
  <si>
    <r>
      <t>kg CO</t>
    </r>
    <r>
      <rPr>
        <vertAlign val="subscript"/>
        <sz val="11"/>
        <color theme="1"/>
        <rFont val="Calibri"/>
        <family val="2"/>
        <scheme val="minor"/>
      </rPr>
      <t>2</t>
    </r>
    <r>
      <rPr>
        <sz val="11"/>
        <color theme="1"/>
        <rFont val="Calibri"/>
        <family val="2"/>
        <scheme val="minor"/>
      </rPr>
      <t>e/kWh</t>
    </r>
  </si>
  <si>
    <t>UBA 2018</t>
  </si>
  <si>
    <t>Binnendiesel_l</t>
  </si>
  <si>
    <t>Für Marinediesel gleiche Werte</t>
  </si>
  <si>
    <t>Binnendiesel_t</t>
  </si>
  <si>
    <t>tonne</t>
  </si>
  <si>
    <t>kWh/t</t>
  </si>
  <si>
    <r>
      <t>kg CO</t>
    </r>
    <r>
      <rPr>
        <vertAlign val="subscript"/>
        <sz val="11"/>
        <color theme="1"/>
        <rFont val="Calibri"/>
        <family val="2"/>
        <scheme val="minor"/>
      </rPr>
      <t>2</t>
    </r>
    <r>
      <rPr>
        <sz val="11"/>
        <color theme="1"/>
        <rFont val="Calibri"/>
        <family val="2"/>
        <scheme val="minor"/>
      </rPr>
      <t>e/t</t>
    </r>
  </si>
  <si>
    <t>Erdgas_kg</t>
  </si>
  <si>
    <t>kg/Nm3</t>
  </si>
  <si>
    <r>
      <t>kg CO</t>
    </r>
    <r>
      <rPr>
        <vertAlign val="subscript"/>
        <sz val="11"/>
        <color theme="1"/>
        <rFont val="Calibri"/>
        <family val="2"/>
        <scheme val="minor"/>
      </rPr>
      <t>2</t>
    </r>
    <r>
      <rPr>
        <sz val="11"/>
        <color theme="1"/>
        <rFont val="Calibri"/>
        <family val="2"/>
        <scheme val="minor"/>
      </rPr>
      <t>e/kg</t>
    </r>
  </si>
  <si>
    <t>Es gibt keine Unterscheidung mehr zwischen CNG und LNG (C=comprimiert; L=flüssig)</t>
  </si>
  <si>
    <t>Flugbenzin_l</t>
  </si>
  <si>
    <t>Flugbenzin_t</t>
  </si>
  <si>
    <t>Kerosin_t</t>
  </si>
  <si>
    <t>Kerosin_l</t>
  </si>
  <si>
    <t>Marinediesel_t</t>
  </si>
  <si>
    <t>Motomix_l</t>
  </si>
  <si>
    <t>EF und Heizwert für Diesel angesetzt, da Gemsich aus Benzin und Motorenöl</t>
  </si>
  <si>
    <t>Schweröl_t</t>
  </si>
  <si>
    <t>Wasserstoff_blau_kg</t>
  </si>
  <si>
    <t>Wasserstoff_grün_kg</t>
  </si>
  <si>
    <t>Wasserstoff_türkis_kg</t>
  </si>
  <si>
    <t>Wasserstoff_grau_kg</t>
  </si>
  <si>
    <t xml:space="preserve">Liegenschaften </t>
  </si>
  <si>
    <t>Energieträger Wärme - Bezug Endenergie</t>
  </si>
  <si>
    <t>KEA</t>
  </si>
  <si>
    <t>Biogas_kWh</t>
  </si>
  <si>
    <t>berechneter Mischwert: Energiepflanzen, Gülle, Abfall, Reststoff nach TA Luft und Baurecht genehmigt</t>
  </si>
  <si>
    <t>Biogas_m3</t>
  </si>
  <si>
    <t>kWh/m3</t>
  </si>
  <si>
    <r>
      <t>kg CO</t>
    </r>
    <r>
      <rPr>
        <vertAlign val="subscript"/>
        <sz val="11"/>
        <color theme="1"/>
        <rFont val="Calibri"/>
        <family val="2"/>
        <scheme val="minor"/>
      </rPr>
      <t>2</t>
    </r>
    <r>
      <rPr>
        <sz val="11"/>
        <color theme="1"/>
        <rFont val="Calibri"/>
        <family val="2"/>
        <scheme val="minor"/>
      </rPr>
      <t>e/m</t>
    </r>
    <r>
      <rPr>
        <vertAlign val="superscript"/>
        <sz val="11"/>
        <color theme="1"/>
        <rFont val="Calibri"/>
        <family val="2"/>
        <scheme val="minor"/>
      </rPr>
      <t>3</t>
    </r>
  </si>
  <si>
    <t>Biomasse_fest_kWh</t>
  </si>
  <si>
    <t>Biomasse_fest_m3</t>
  </si>
  <si>
    <t>kg/m3</t>
  </si>
  <si>
    <t>Biomasse_fest_t</t>
  </si>
  <si>
    <t>Tonnen</t>
  </si>
  <si>
    <t>Braunkohle_kWh</t>
  </si>
  <si>
    <t>Braunkohle_t</t>
  </si>
  <si>
    <t>Braunkohle_m3</t>
  </si>
  <si>
    <t>t/m3</t>
  </si>
  <si>
    <t>Braunkohlebriketts_kWh</t>
  </si>
  <si>
    <t>Braunkohlebriketts_t</t>
  </si>
  <si>
    <t>Braunkohlebriketts_m3</t>
  </si>
  <si>
    <t>Brennholz_kWh</t>
  </si>
  <si>
    <t>RM</t>
  </si>
  <si>
    <t>kWh/RM</t>
  </si>
  <si>
    <t>t/RM</t>
  </si>
  <si>
    <r>
      <t>kg CO</t>
    </r>
    <r>
      <rPr>
        <vertAlign val="subscript"/>
        <sz val="11"/>
        <color theme="1"/>
        <rFont val="Calibri"/>
        <family val="2"/>
        <scheme val="minor"/>
      </rPr>
      <t>2</t>
    </r>
    <r>
      <rPr>
        <sz val="11"/>
        <color theme="1"/>
        <rFont val="Calibri"/>
        <family val="2"/>
        <scheme val="minor"/>
      </rPr>
      <t>e/RM</t>
    </r>
  </si>
  <si>
    <t>FM</t>
  </si>
  <si>
    <t>kWh/FM</t>
  </si>
  <si>
    <t>RM/FM</t>
  </si>
  <si>
    <r>
      <t>kg CO</t>
    </r>
    <r>
      <rPr>
        <vertAlign val="subscript"/>
        <sz val="11"/>
        <color theme="1"/>
        <rFont val="Calibri"/>
        <family val="2"/>
        <scheme val="minor"/>
      </rPr>
      <t>2</t>
    </r>
    <r>
      <rPr>
        <sz val="11"/>
        <color theme="1"/>
        <rFont val="Calibri"/>
        <family val="2"/>
        <scheme val="minor"/>
      </rPr>
      <t>e/FM</t>
    </r>
  </si>
  <si>
    <t>Erdgas_m3</t>
  </si>
  <si>
    <t>Fernwärme_kWh</t>
  </si>
  <si>
    <t>ACHTUNG: enthält nur fossilien Anteil --&gt; konservativ, damit keine Unterschätzung: Erdgas 62,2%, Steinkohle 27,3%, Braunkohle 8,9%, Heizöl El+S 1,6%</t>
  </si>
  <si>
    <t>Flüssiggas_flüssig_kWh</t>
  </si>
  <si>
    <t>Flüssiggas_flüssig_l</t>
  </si>
  <si>
    <t>Liter</t>
  </si>
  <si>
    <t>Flüssiggas_flüssig_m3</t>
  </si>
  <si>
    <t>l/m3</t>
  </si>
  <si>
    <t>Flüssiggas_flüssig_t</t>
  </si>
  <si>
    <t>kg CO2e / kWh</t>
  </si>
  <si>
    <t>kg CO2e / l</t>
  </si>
  <si>
    <t>Heizöl_leicht_kWh</t>
  </si>
  <si>
    <t>Heizöl_leicht_l</t>
  </si>
  <si>
    <t>Heizöl_leicht_m3</t>
  </si>
  <si>
    <t>Heizöl_schwer_l</t>
  </si>
  <si>
    <t>Heizöl_schwer_m3</t>
  </si>
  <si>
    <t>Heizöl_schwer_t</t>
  </si>
  <si>
    <t xml:space="preserve">Heizöl_schwer_kWh </t>
  </si>
  <si>
    <t>Holzhackschnitzel_kWh</t>
  </si>
  <si>
    <t>Holzhackschnitzel_t</t>
  </si>
  <si>
    <t>Holzhackschnitzel_m3</t>
  </si>
  <si>
    <t>Holzpellets_t</t>
  </si>
  <si>
    <t>Holzpellets_m3</t>
  </si>
  <si>
    <t>Steinkohle_kWh</t>
  </si>
  <si>
    <t>Steinkohle_t</t>
  </si>
  <si>
    <t>Steinkohle_m3</t>
  </si>
  <si>
    <t>Eintrag möglich für zusätzliche</t>
  </si>
  <si>
    <t>Energietypen. Wird in Phase 3</t>
  </si>
  <si>
    <t>Liegenschaften/Mobilität</t>
  </si>
  <si>
    <t>Strombezug aus:</t>
  </si>
  <si>
    <t>Biomethan_kWh</t>
  </si>
  <si>
    <t>Deponiegas_kWh</t>
  </si>
  <si>
    <t>flüssige_Biomasse_kWh</t>
  </si>
  <si>
    <t>Klärgas_kWh</t>
  </si>
  <si>
    <t>kg CO2e/kWh</t>
  </si>
  <si>
    <t>Photovoltaik_kWh</t>
  </si>
  <si>
    <t>Siedlungsabfall_kWh</t>
  </si>
  <si>
    <t>Tiefengeothermie_kWh</t>
  </si>
  <si>
    <t>EF so hoch, wegen F-Gasen und Leckagen</t>
  </si>
  <si>
    <t>Wasserkraft_kWh</t>
  </si>
  <si>
    <t>Wind_offshore_kWh</t>
  </si>
  <si>
    <t>Wind_onshore_kWh</t>
  </si>
  <si>
    <t>Bezugseinheit2</t>
  </si>
  <si>
    <t>Bahn_DE_Pkm</t>
  </si>
  <si>
    <t>Pkm</t>
  </si>
  <si>
    <t>kg CO2e/ Pkm</t>
  </si>
  <si>
    <t>Auslastung Nah: 24 %, Fern: 46 %</t>
  </si>
  <si>
    <t>Bahn GV_AT</t>
  </si>
  <si>
    <t>Fkm</t>
  </si>
  <si>
    <t>kg CO2e/ Fkm</t>
  </si>
  <si>
    <t>kWh/ Fkm</t>
  </si>
  <si>
    <t>UBA 2019</t>
  </si>
  <si>
    <t>Bahn PV_Pkm</t>
  </si>
  <si>
    <t>kWh/ Pkm</t>
  </si>
  <si>
    <t>Bahn PV_AT</t>
  </si>
  <si>
    <t>BEV AT (Östrom inkl. Import), Personenkilometer</t>
  </si>
  <si>
    <t>BEV AT_Pkm</t>
  </si>
  <si>
    <t>BEV AT (Östrom inkl. Import), Fahrzeugkilometer</t>
  </si>
  <si>
    <t>BEV AT</t>
  </si>
  <si>
    <t>BEV AT (Östrom), Personenkilometer</t>
  </si>
  <si>
    <t>BEV AT only_Pkm</t>
  </si>
  <si>
    <t>BEV AT (Östrom), Fahrzeugkilometer</t>
  </si>
  <si>
    <t>BEV AT only</t>
  </si>
  <si>
    <t>BEV Ökostrom_Pkm</t>
  </si>
  <si>
    <t>BEV Ökostrom</t>
  </si>
  <si>
    <t>Bus_Elektr._Ökostrom</t>
  </si>
  <si>
    <t>Wiki, UBA 2019</t>
  </si>
  <si>
    <t>Bus_Elektr._Strommix_AT</t>
  </si>
  <si>
    <t>Erdaushub Bagger</t>
  </si>
  <si>
    <t>Erdaushub_Bagger</t>
  </si>
  <si>
    <t>l/m³</t>
  </si>
  <si>
    <t>kg CO2e/m³</t>
  </si>
  <si>
    <t>EPD Bothnialine</t>
  </si>
  <si>
    <t>Erdaushub Dumper</t>
  </si>
  <si>
    <t>Erdaushub_Dumper</t>
  </si>
  <si>
    <t>Flugzeug internat_Pkm</t>
  </si>
  <si>
    <t>Flugzeug internat.</t>
  </si>
  <si>
    <t>Flugzeug nat_Pkm</t>
  </si>
  <si>
    <t>Flugzeug nat.</t>
  </si>
  <si>
    <t>Flugzeug avg_Pkm</t>
  </si>
  <si>
    <t>Flugzeug avg.</t>
  </si>
  <si>
    <t>Hotel</t>
  </si>
  <si>
    <t>Hotel_Übernachtung</t>
  </si>
  <si>
    <t>Übernachtung</t>
  </si>
  <si>
    <t>kg CO2/ÜN</t>
  </si>
  <si>
    <t xml:space="preserve">vgl. EF FC: 44.383 g/€ für 2021, 38,7821 kg/€ für 2022 </t>
  </si>
  <si>
    <t>Linienbus_Pkm</t>
  </si>
  <si>
    <t>Linienbus</t>
  </si>
  <si>
    <t>LKW avg</t>
  </si>
  <si>
    <t>LKW LNF</t>
  </si>
  <si>
    <t>LKW SNF &lt;18t</t>
  </si>
  <si>
    <t>LKW SNF &gt;18t</t>
  </si>
  <si>
    <t>Mietwagen</t>
  </si>
  <si>
    <t>Mietwagen_Euro</t>
  </si>
  <si>
    <t>Euro</t>
  </si>
  <si>
    <t>kg CO2e/€</t>
  </si>
  <si>
    <t>ÖPVN</t>
  </si>
  <si>
    <t>ÖPVN_Euro</t>
  </si>
  <si>
    <t xml:space="preserve">Wichtig: CO2-Menge ÖV  ca. 4mal so hoch </t>
  </si>
  <si>
    <t>PKW Benzin, Personenkilometer</t>
  </si>
  <si>
    <t>PKW Benzin_Pkm</t>
  </si>
  <si>
    <t>PKW Benzin, Fahrzeugkilometer</t>
  </si>
  <si>
    <t>PKW Benzin</t>
  </si>
  <si>
    <t>PKW Diesel, Personenkilometer</t>
  </si>
  <si>
    <t>PKW Diesel_Pkm</t>
  </si>
  <si>
    <t>PKW Diesel, Fahrzeugkilometer</t>
  </si>
  <si>
    <t>PKW Diesel</t>
  </si>
  <si>
    <t>PKW Durchschnitt Benzin+Diesel, Personenkilometer</t>
  </si>
  <si>
    <t>PKW avg_Pkm</t>
  </si>
  <si>
    <t>PKW Durchschnitt Benzin+Diesel, Fahrzeugkilometer</t>
  </si>
  <si>
    <t>PKW avg</t>
  </si>
  <si>
    <t>Reisebus (Diesel), Personenkilometer</t>
  </si>
  <si>
    <t>Reisebus_Pkm</t>
  </si>
  <si>
    <t>Reisebus (Diesel), Fahrzeugkilometer</t>
  </si>
  <si>
    <t>Reisebus</t>
  </si>
  <si>
    <t>Sattelzüge (40t) D, Fahrzeugkilometer</t>
  </si>
  <si>
    <t>LKW 40t</t>
  </si>
  <si>
    <t>Schneefräse</t>
  </si>
  <si>
    <t>kg CO2e/ h</t>
  </si>
  <si>
    <t>https://www.chip.de/artikel/Schneefraesen-Test-Die-preiswertesten-Schneefraesen-im-Markt-Check_179404143.html</t>
  </si>
  <si>
    <t>Taxi</t>
  </si>
  <si>
    <t>Taxi_Euro</t>
  </si>
  <si>
    <t>Unimog_Fkm</t>
  </si>
  <si>
    <t>https://www.spritmonitor.de/de/detailansicht/688571.html</t>
  </si>
  <si>
    <t>Unimog_Arbeitsleistung</t>
  </si>
  <si>
    <t>Bahn Güterverkehr elektrifiziert</t>
  </si>
  <si>
    <t>Bahn GV_el</t>
  </si>
  <si>
    <t>tkm</t>
  </si>
  <si>
    <r>
      <t>kg CO</t>
    </r>
    <r>
      <rPr>
        <vertAlign val="subscript"/>
        <sz val="11"/>
        <color theme="1"/>
        <rFont val="Calibri"/>
        <family val="2"/>
        <scheme val="minor"/>
      </rPr>
      <t>2e</t>
    </r>
    <r>
      <rPr>
        <sz val="11"/>
        <color theme="1"/>
        <rFont val="Calibri"/>
        <family val="2"/>
        <scheme val="minor"/>
      </rPr>
      <t>/tkm</t>
    </r>
  </si>
  <si>
    <t>kWh/tkm</t>
  </si>
  <si>
    <t>UBA 2021</t>
  </si>
  <si>
    <t>Bahn Güterverkehr nicht elektrifiziert</t>
  </si>
  <si>
    <t>Bahn GV_non_el</t>
  </si>
  <si>
    <t>UBA 2022</t>
  </si>
  <si>
    <t>Bahn Güterverkehr in Österreich</t>
  </si>
  <si>
    <t>Bahn GV_Tkm</t>
  </si>
  <si>
    <t>Bahn GV_EU</t>
  </si>
  <si>
    <t>UBA 2020</t>
  </si>
  <si>
    <t>LKW avg_Tkm</t>
  </si>
  <si>
    <t>LKW LNF_Tkm</t>
  </si>
  <si>
    <t>LKW SNF &lt;18t_Tkm</t>
  </si>
  <si>
    <t>LKW SNF &gt;18t_Tkm</t>
  </si>
  <si>
    <t>LKW 40t_Tkm</t>
  </si>
  <si>
    <t>Luft_Short</t>
  </si>
  <si>
    <t>Mittelwerte aus http://sasems.port.se/</t>
  </si>
  <si>
    <t>Luft_Mid</t>
  </si>
  <si>
    <t>Luft_Long</t>
  </si>
  <si>
    <t>Schiff Güterverkehr</t>
  </si>
  <si>
    <t>Schiff_GV</t>
  </si>
  <si>
    <t>UBA 2023</t>
  </si>
  <si>
    <t>Transportmittel.</t>
  </si>
  <si>
    <r>
      <t xml:space="preserve">Emissionsfaktoren: </t>
    </r>
    <r>
      <rPr>
        <b/>
        <sz val="26"/>
        <rFont val="Calibri"/>
        <family val="2"/>
        <scheme val="minor"/>
      </rPr>
      <t>Lebenszyklus</t>
    </r>
  </si>
  <si>
    <t>Kategorie</t>
  </si>
  <si>
    <t>THG_Gesamt</t>
  </si>
  <si>
    <t>Bezug</t>
  </si>
  <si>
    <t>Rollendes Material (RM)</t>
  </si>
  <si>
    <t>Instandhaltung Dieselbus Standard über Nutzungsdauer</t>
  </si>
  <si>
    <t>RM_Dieselbus_Standard_Lebenszyklus</t>
  </si>
  <si>
    <t>Lebenszyklus</t>
  </si>
  <si>
    <t>Österreichische Bundesbahn - spezifisch</t>
  </si>
  <si>
    <t xml:space="preserve">Instandhaltung Elektrobus Standard über Nutzungsdauer </t>
  </si>
  <si>
    <t>RM_Ebus_Standard_Lebenszyklus</t>
  </si>
  <si>
    <t>Batterietausch Elektrobus</t>
  </si>
  <si>
    <t>RM_Ebus_Batterietausch</t>
  </si>
  <si>
    <t xml:space="preserve">Instandhaltung Electric Multiple Unit (EMU) ("CAF Civity") über Nutzungsdauer </t>
  </si>
  <si>
    <t>RM_EMU_Lebenszyklus</t>
  </si>
  <si>
    <t>Infrastruktur</t>
  </si>
  <si>
    <t>Schienenoberflächenbehandlung inkl. Anfahrt, Abfahrt und Tätigkeit.</t>
  </si>
  <si>
    <t>Infra_Schleifen</t>
  </si>
  <si>
    <t>Infra_Schienenwechsel</t>
  </si>
  <si>
    <t xml:space="preserve">Barwert Energiekosten </t>
  </si>
  <si>
    <t xml:space="preserve">Barwert Wartungskosten durch Bietenden </t>
  </si>
  <si>
    <t xml:space="preserve">Barwert Wartungskosten durch Beschaffungsstelle </t>
  </si>
  <si>
    <t xml:space="preserve">Allgemeine Inflationsrate (p), 
d.h. jährliche Teuerungsrate der Preise für private Verbrauchsausgaben </t>
  </si>
  <si>
    <t>Summe</t>
  </si>
  <si>
    <t>Zum Vergleich: Endwert aller laufenden Kosten je funktionelle Einheit ohne Barwert (p und d)</t>
  </si>
  <si>
    <t xml:space="preserve">Benennung (= Leistungsgegenstand) gemäß Ausschreibungsunterlagen, z.B. Stück </t>
  </si>
  <si>
    <t>Tabellenblatt "Investitionsrechnung"</t>
  </si>
  <si>
    <t>###</t>
  </si>
  <si>
    <t>Bitte Preispunkte für das vorliegende Angebot separat berechnen und hier eintragen</t>
  </si>
  <si>
    <t>ggf. spezifische 
Typenbezeichnung</t>
  </si>
  <si>
    <t xml:space="preserve">ggf. 
spezifischer Hersteller  </t>
  </si>
  <si>
    <r>
      <t xml:space="preserve">Der Barwert ist - einfach erklärt - ein Begriff aus der Finanzmathematik und beschreibt den durch Abzinsung (Diskontierung) ermittelten Gegenwartswert zukünftig fälliger Zahlungen. 
</t>
    </r>
    <r>
      <rPr>
        <b/>
        <sz val="11"/>
        <color theme="1"/>
        <rFont val="Calibri"/>
        <family val="2"/>
        <scheme val="minor"/>
      </rPr>
      <t>Ermittelt wird der Barwert durch  Abzinsung der zukünftigen Zahlungen und anschließendem Summieren.</t>
    </r>
  </si>
  <si>
    <t>Aufteilung der Gesamt-Fahrstrecke auf die unterschiedlichen genutzten Transportmittel.</t>
  </si>
  <si>
    <t>Lebensmittel - Ananas, Dose</t>
  </si>
  <si>
    <t>Lebensmittel - Ananas, frisch</t>
  </si>
  <si>
    <t>Lebensmittel - Apfel</t>
  </si>
  <si>
    <t>Lebensmittel - Bier, Murauer</t>
  </si>
  <si>
    <t>Lebensmittel - Bulgur</t>
  </si>
  <si>
    <t>Lebensmittel - Butter</t>
  </si>
  <si>
    <t>Lebensmittel - Buttermilch</t>
  </si>
  <si>
    <t>Lebensmittel - Couscous</t>
  </si>
  <si>
    <t>Lebensmittel - Eier</t>
  </si>
  <si>
    <t>Lebensmittel - Eisbergsalat, frisch</t>
  </si>
  <si>
    <t>Lebensmittel - Endiviensalat, frisch</t>
  </si>
  <si>
    <t>Lebensmittel - Erbsen</t>
  </si>
  <si>
    <t>Lebensmittel - Fenchel</t>
  </si>
  <si>
    <t>Lebensmittel - Fetakäse, griechisch</t>
  </si>
  <si>
    <t>Lebensmittel - Frischkäse</t>
  </si>
  <si>
    <t>Lebensmittel - Frühlingszwiebel</t>
  </si>
  <si>
    <t>Lebensmittel - Geflügelfleisch</t>
  </si>
  <si>
    <t>Lebensmittel - Gelbe Rüben</t>
  </si>
  <si>
    <t>Lebensmittel - Gemüse, frisch</t>
  </si>
  <si>
    <t>Lebensmittel - Grillhuhn</t>
  </si>
  <si>
    <t>Lebensmittel - Grillhuhn TK</t>
  </si>
  <si>
    <t>Lebensmittel - Grüner Salat/ Häuptelsalat</t>
  </si>
  <si>
    <t>Lebensmittel - Gurken</t>
  </si>
  <si>
    <t>Lebensmittel - Haltbar-Milch 3,5% Fett, TetraPack 1 Lt.</t>
  </si>
  <si>
    <t>Lebensmittel - Hering</t>
  </si>
  <si>
    <t>Lebensmittel - Honig, aus der EU</t>
  </si>
  <si>
    <t>Lebensmittel - Joghurt</t>
  </si>
  <si>
    <t>Lebensmittel - Kaffee</t>
  </si>
  <si>
    <t>Lebensmittel - Kartoffeln, frisch</t>
  </si>
  <si>
    <t>Lebensmittel - Käse</t>
  </si>
  <si>
    <t>Lebensmittel - Kichererbsen</t>
  </si>
  <si>
    <t>Lebensmittel - Kiwi</t>
  </si>
  <si>
    <t xml:space="preserve">Lebensmittel - Knoblauch frisch </t>
  </si>
  <si>
    <t>Lebensmittel - Kohlrabi</t>
  </si>
  <si>
    <t>Lebensmittel - Kokosmilch ca 1 lt</t>
  </si>
  <si>
    <t>Lebensmittel - Koriander</t>
  </si>
  <si>
    <t>Lebensmittel - Kuhmilch</t>
  </si>
  <si>
    <t>Lebensmittel - Linsen Dose</t>
  </si>
  <si>
    <t xml:space="preserve">Lebensmittel - Linsen getrocknet </t>
  </si>
  <si>
    <t>Lebensmittel - Lollo bianco</t>
  </si>
  <si>
    <t>Lebensmittel - Lollo rosso</t>
  </si>
  <si>
    <t>Lebensmittel - Lollo verde</t>
  </si>
  <si>
    <t>Lebensmittel - Mandarinen</t>
  </si>
  <si>
    <t>Lebensmittel - Margarine</t>
  </si>
  <si>
    <t>Lebensmittel - Mehl</t>
  </si>
  <si>
    <t>Lebensmittel - Melanzani</t>
  </si>
  <si>
    <t>Lebensmittel - Mischbrot</t>
  </si>
  <si>
    <t>Lebensmittel - Mozzarella</t>
  </si>
  <si>
    <t>Lebensmittel - Nudeln</t>
  </si>
  <si>
    <t>Lebensmittel - Nudeln, Vollkorn</t>
  </si>
  <si>
    <t>Lebensmittel - Obst</t>
  </si>
  <si>
    <t>Lebensmittel - Oliven</t>
  </si>
  <si>
    <t>Lebensmittel - Orange</t>
  </si>
  <si>
    <t>Lebensmittel - Pfirsich Dose</t>
  </si>
  <si>
    <t>Lebensmittel - Pfirsich frisch</t>
  </si>
  <si>
    <t>Lebensmittel - Rapsöl</t>
  </si>
  <si>
    <t>Lebensmittel - Reis</t>
  </si>
  <si>
    <t>Lebensmittel - Rindfleisch, nur essbare Teile</t>
  </si>
  <si>
    <t>Lebensmittel - Rindfleisch, Schlachtgewicht ab Hof</t>
  </si>
  <si>
    <t>Lebensmittel - Rosinen</t>
  </si>
  <si>
    <t>Lebensmittel - Rote Rüben frisch</t>
  </si>
  <si>
    <t>Lebensmittel - Rote Rüben gekocht Vakumiert</t>
  </si>
  <si>
    <t>Lebensmittel - Rotkraut</t>
  </si>
  <si>
    <t>Lebensmittel - Rotkraut geschnitten</t>
  </si>
  <si>
    <t>Lebensmittel - Rucola</t>
  </si>
  <si>
    <t>Lebensmittel - Salat-Mix</t>
  </si>
  <si>
    <t>Lebensmittel - Salz (NaCl)</t>
  </si>
  <si>
    <t>Lebensmittel - Sauerkraut</t>
  </si>
  <si>
    <t>Lebensmittel - Sauerrahm</t>
  </si>
  <si>
    <t>Lebensmittel - Schweinefleisch</t>
  </si>
  <si>
    <t>Lebensmittel - Softdrink, Coca Cola Deutschland</t>
  </si>
  <si>
    <t>Lebensmittel - Spitzkohl</t>
  </si>
  <si>
    <t>Lebensmittel - Süßkartoffeln</t>
  </si>
  <si>
    <t>Lebensmittel - Tofu natur</t>
  </si>
  <si>
    <t>Lebensmittel - Tomaten, frisch</t>
  </si>
  <si>
    <t>Lebensmittel - Vogerlsalat, Feldsalat</t>
  </si>
  <si>
    <t>Lebensmittel - Wassermelone</t>
  </si>
  <si>
    <t>Lebensmittel - Wein, Bayern</t>
  </si>
  <si>
    <t>Lebensmittel - Weintrauben</t>
  </si>
  <si>
    <t>Lebensmittel - Weißkraut</t>
  </si>
  <si>
    <t>Lebensmittel - Weizen</t>
  </si>
  <si>
    <t>Lebensmittel - Wirsing</t>
  </si>
  <si>
    <t>Lebensmittel - Wurst</t>
  </si>
  <si>
    <t>Lebensmittel - Zitrone</t>
  </si>
  <si>
    <t>Lebensmittel - Zucchini</t>
  </si>
  <si>
    <t>Lebensmittel - Zucker</t>
  </si>
  <si>
    <t>Lebensmittel - Zwiebeln</t>
  </si>
  <si>
    <t>Lebensmittel - Magerquark</t>
  </si>
  <si>
    <t>Magerquark</t>
  </si>
  <si>
    <t>Blei, recycelt</t>
  </si>
  <si>
    <t>Lebensmittel - Faschierte Laibchen</t>
  </si>
  <si>
    <t>Lebensmittel - Faschiertes gemischt</t>
  </si>
  <si>
    <t>Lebensmittel - Meerrettich (österreichisch: Kren)</t>
  </si>
  <si>
    <t>IT - 4G/LTE oder 5G Modul</t>
  </si>
  <si>
    <t>IT - Akku</t>
  </si>
  <si>
    <t>IT - All-in-One PC, 1TB, 19"</t>
  </si>
  <si>
    <t>IT - All-in-One PC, 1TB, 21"</t>
  </si>
  <si>
    <t>IT - All-in-One PC, 1TB, 23"</t>
  </si>
  <si>
    <t>IT - All-in-One PC, 512GB, 19"</t>
  </si>
  <si>
    <t>IT - All-in-One PC, 512GB, 21"</t>
  </si>
  <si>
    <t>IT - All-in-One PC, 512GB, 23"</t>
  </si>
  <si>
    <t>IT - AMOLED panel pro cm²</t>
  </si>
  <si>
    <t>IT - Anschlussbuchse für Netzwerkgeräte, USB, RJ45 u.a.</t>
  </si>
  <si>
    <t>IT - APC DRAM Speichermodule DDR3 DIMM 4 GByte</t>
  </si>
  <si>
    <t>IT - Desktop-Monitor</t>
  </si>
  <si>
    <t>IT - Desktop-PC, Mini-/Micro-Tower, 1TB</t>
  </si>
  <si>
    <t>IT - Desktop-PC, Mini-/Micro-Tower, 2TB</t>
  </si>
  <si>
    <t>IT - Desktop-PC, Mini-/Micro-Tower, 512GB</t>
  </si>
  <si>
    <t>IT - Desktop-PC, Small Form Factor, 1TB</t>
  </si>
  <si>
    <t>IT - Desktop-PC, Small Form Factor, 2TB</t>
  </si>
  <si>
    <t>IT - Desktop-PC, Small Form Factor, 512GB</t>
  </si>
  <si>
    <t>IT - Desktop-PC, Tower, 1TB</t>
  </si>
  <si>
    <t>IT - Desktop-PC, Tower, 2TB</t>
  </si>
  <si>
    <t>IT - Desktop-PC, Tower, 512GB</t>
  </si>
  <si>
    <t>IT - Diode Automobilelektronik, diverse Größen und Spezifikationen</t>
  </si>
  <si>
    <t>IT - Diode für Leistungselektronik, diverse Größen und Spezifikationen</t>
  </si>
  <si>
    <t>IT - Diode für Netzwerkgeräte, diverse Größen und Spezifikationen</t>
  </si>
  <si>
    <t>IT - Drucker (Standgerät, A3)</t>
  </si>
  <si>
    <t>IT - Drucker (Tischgerät, A3)</t>
  </si>
  <si>
    <t>IT - Drucker (Tischgerät, A4)</t>
  </si>
  <si>
    <t>IT - einfache Funksensoren zur Erfassung von Messwerten wie Druck, Temperatur, Helligkeit, etc.</t>
  </si>
  <si>
    <t>IT - Elektrolyt- und Film-Kondensatoren für Leistungselektronik, diverse Bauformen und Spezifikationen</t>
  </si>
  <si>
    <t>IT - externes Netzteil, 10-12 W (für z.B. Netzwerkgeräte)</t>
  </si>
  <si>
    <t>IT - externes Netzteil, 12-15 W (für z.B. Audiogeräte)</t>
  </si>
  <si>
    <t>IT - externes Netzteil, 15-20 W (für z.B. Mobilgeräte)</t>
  </si>
  <si>
    <t>IT - externes Netzteil, 20-30 W (für z.B. Laptops)</t>
  </si>
  <si>
    <t>IT - externes Netzteil, 30-65 W (für z.B. Laptops)</t>
  </si>
  <si>
    <t>IT - externes Netzteil, 30-65 W (z.B. universelles Ladegerät)</t>
  </si>
  <si>
    <t>IT - externes Netzteil, 60 W (für z.B. Akku-Werkzeug)</t>
  </si>
  <si>
    <t>IT - externes Netzteil, 6-10 W (für z.B. Mobilgeräte)</t>
  </si>
  <si>
    <t>IT - externes Netzteil, 65-120 W (für z.B. Laptops)</t>
  </si>
  <si>
    <t>IT - externes Netzteil, bis 6 W</t>
  </si>
  <si>
    <t>IT - Feature Phone</t>
  </si>
  <si>
    <t>IT - Flex Leiterplatte, ENIG-Finish, 1-lagig</t>
  </si>
  <si>
    <t xml:space="preserve">IT - Flex Leiterplatte, ENIG-Finish, 1-lagig, beidseitig strukturiert </t>
  </si>
  <si>
    <t>IT - FR4 Leiterplatte HAL-Finish 1-lagig</t>
  </si>
  <si>
    <t xml:space="preserve">IT - FR4 Leiterplatte HAL-Finish 1-lagig, beidseitig strukturiert </t>
  </si>
  <si>
    <t xml:space="preserve">IT - FR4 Leiterplatte, ENIG-Finish, 10-lagig </t>
  </si>
  <si>
    <t>IT - FR4 Leiterplatte, ENIG-Finish, 12-lagig</t>
  </si>
  <si>
    <t>IT - FR4 Leiterplatte, ENIG-Finish, 4-lagig</t>
  </si>
  <si>
    <t>IT - FR4 Leiterplatte, ENIG-Finish, 6-lagig</t>
  </si>
  <si>
    <t>IT - FR4 Leiterplatte, ENIG-Finish, 8-lagig</t>
  </si>
  <si>
    <t>IT - Funksensoren mit Vorverarbeitung von Messdaten</t>
  </si>
  <si>
    <t>IT - Gaming-Headset</t>
  </si>
  <si>
    <t>IT - Gaming-Maus</t>
  </si>
  <si>
    <t>IT - Gaming-Tastatur</t>
  </si>
  <si>
    <t>IT - Generischer IC</t>
  </si>
  <si>
    <t>IT - IC Automobilelektronik, Durchschnitt diverse Bauformen</t>
  </si>
  <si>
    <t>IT - IC für Leistungselektronik, Durchschnitt, SO, SSOP, TSSOP, QFN Bauformen</t>
  </si>
  <si>
    <t>IT - IC für Netzwerkgeräte, Durchschnitt QFP32 Bauform</t>
  </si>
  <si>
    <t>IT - IC für Netzwerkgeräte, Durchschnitt SO8 und TSSOP8 Bauformen</t>
  </si>
  <si>
    <t>IT - IC, DRAM</t>
  </si>
  <si>
    <t>IT - IC, NAND</t>
  </si>
  <si>
    <t>IT - IC, SoC</t>
  </si>
  <si>
    <t>IT - Induktivität Automobilelektronik, diverse Größen und Spezifikationen</t>
  </si>
  <si>
    <t>IT - Induktivität für Leistungselektronik, diverse Größen und Spezifikationen</t>
  </si>
  <si>
    <t>IT - Induktivität für Netzwerkgeräte, diverse Größen und Spezifikationen</t>
  </si>
  <si>
    <t>IT - Kernnetzserver</t>
  </si>
  <si>
    <t>IT - komplexe Funksensoren für hohe Datenströme (Audio, Video)</t>
  </si>
  <si>
    <t>IT - Kondensator Automobilelektronik, diverse Größen und Spezifikationen</t>
  </si>
  <si>
    <t>IT - Kühlkörper für WLAN-Modul</t>
  </si>
  <si>
    <t>IT - Laptop, 1TB, 13"</t>
  </si>
  <si>
    <t>IT - Laptop, 1TB, 14"</t>
  </si>
  <si>
    <t>IT - Laptop, 1TB, 15"</t>
  </si>
  <si>
    <t>IT - Laptop, 1TB, 17"</t>
  </si>
  <si>
    <t>IT - Laptop, 256GB, 13"</t>
  </si>
  <si>
    <t>IT - Laptop, 256GB, 14"</t>
  </si>
  <si>
    <t>IT - Laptop, 256GB, 15"</t>
  </si>
  <si>
    <t>IT - Laptop, 256GB, 17"</t>
  </si>
  <si>
    <t>IT - Laptop, 512GB, 13"</t>
  </si>
  <si>
    <t>IT - Laptop, 512GB, 14"</t>
  </si>
  <si>
    <t>IT - Laptop, 512GB, 15"</t>
  </si>
  <si>
    <t>IT - Laptop, 512GB, 17"</t>
  </si>
  <si>
    <t>IT - Laptop-Akku</t>
  </si>
  <si>
    <t>IT - LCD Display, Smartphone, pro cm²</t>
  </si>
  <si>
    <t>IT - LCD Display, Tablet, pro cm²</t>
  </si>
  <si>
    <t>IT - LED Automobilelektronik, diverse Größen und Spezifikationen</t>
  </si>
  <si>
    <t>IT - Lithium-Akku (Lithium-Cobalt-Oxid)</t>
  </si>
  <si>
    <t>IT - Lot Sn96,5Ag3Cu0,5 (Drähte und Stäbe, 50/50 Allokation)</t>
  </si>
  <si>
    <t>IT - Lot Sn96,5Ag3Cu0,5 (Drähte und Stäbe, primär)</t>
  </si>
  <si>
    <t>IT - Lot Sn96,5Ag3Cu0,5 (Drähte und Stäbe, sekundär)</t>
  </si>
  <si>
    <t>IT - Lot Sn96,5Ag3Cu0,5 (Stangen, 50/50 Allokation)</t>
  </si>
  <si>
    <t>IT - Lot Sn96,5Ag3Cu0,5 (Stangen, primär)</t>
  </si>
  <si>
    <t>IT - Lot Sn96,5Ag3Cu0,5 (Stangen, sekundär)</t>
  </si>
  <si>
    <t>IT - Lot Sn97Cu3 (Drähte und Stäbe, 50/50 Allokation)</t>
  </si>
  <si>
    <t>IT - Lot Sn97Cu3 (Drähte und Stäbe, primär)</t>
  </si>
  <si>
    <t>IT - Lot Sn97Cu3 (Drähte und Stäbe, sekundär)</t>
  </si>
  <si>
    <t>IT - Lot Sn97Cu3 (Stangen, 50/50 Allokation)</t>
  </si>
  <si>
    <t>IT - Lot Sn97Cu3 (Stangen, primär)</t>
  </si>
  <si>
    <t>IT - Lot Sn97Cu3 (Stangen, sekundär)</t>
  </si>
  <si>
    <t>IT - Lot Sn99,3Cu0,7 (Drähte und Stäbe, 50/50 Allokation)</t>
  </si>
  <si>
    <t>IT - Lot Sn99,3Cu0,7 (Drähte und Stäbe, primär)</t>
  </si>
  <si>
    <t>IT - Lot Sn99,3Cu0,7 (Drähte und Stäbe, sekundär)</t>
  </si>
  <si>
    <t>IT - Lot Sn99,3Cu0,7 (Stangen, 50/50 Allokation)</t>
  </si>
  <si>
    <t>IT - Lot Sn99,3Cu0,7 (Stangen, primär)</t>
  </si>
  <si>
    <t>IT - Lot Sn99,3Cu0,7 (Stangen, sekundär)</t>
  </si>
  <si>
    <t>IT - Lot Sn99,9 (Drähte und Stäbe, 50/50 Allokation)</t>
  </si>
  <si>
    <t>IT - Lot Sn99,9 (Drähte und Stäbe, primär)</t>
  </si>
  <si>
    <t>IT - Lot Sn99,9 (Drähte und Stäbe, sekundär)</t>
  </si>
  <si>
    <t>IT - Lot Sn99,9 (Stangen, 50/50 Allokation)</t>
  </si>
  <si>
    <t>IT - Lot Sn99,9 (Stangen, primär)</t>
  </si>
  <si>
    <t>IT - Lot Sn99,9 (Stangen, sekundär)</t>
  </si>
  <si>
    <t>IT - Lot SnCu0,7Ni0,05Ge0,005 (AOX755) (Drähte und Stäbe, 50/50 Allokation)</t>
  </si>
  <si>
    <t>IT - Lot SnCu0,7Ni0,05Ge0,005 (AOX755) (Drähte und Stäbe, primär)</t>
  </si>
  <si>
    <t>IT - Lot SnCu0,7Ni0,05Ge0,005 (AOX755) (Drähte und Stäbe, sekundär)</t>
  </si>
  <si>
    <t>IT - Lot SnCu0,7Ni0,05Ge0,005 (AOX755) (Stangen, 50/50 Allokation)</t>
  </si>
  <si>
    <t>IT - Lot SnCu0,7Ni0,05Ge0,005 (AOX755) (Stangen, primär)</t>
  </si>
  <si>
    <t>IT - Lot SnCu0,7Ni0,05Ge0,005 (AOX755) (Stangen, sekundär)</t>
  </si>
  <si>
    <t>IT - Maus</t>
  </si>
  <si>
    <t>IT - Maus, drahtlos</t>
  </si>
  <si>
    <t>IT - Maus, kabelgebunden</t>
  </si>
  <si>
    <t>IT - Mikrocontroller Automobilelektronik (inkl. Flash-Speicher)</t>
  </si>
  <si>
    <t>IT - Mikrocontroller für Leistungselektronik, LQFP</t>
  </si>
  <si>
    <t>IT - MLCC-Kondensator für Leistungselektronik, diverse Größen und Spezifikationen</t>
  </si>
  <si>
    <t>IT - MLCC-Kondensator für Netzwerkgeräte, diverse Größen und Spezifikationen</t>
  </si>
  <si>
    <t>IT - Monitor, 20"</t>
  </si>
  <si>
    <t>IT - Monitor, 22"</t>
  </si>
  <si>
    <t>IT - Monitor, 24"</t>
  </si>
  <si>
    <t>IT - Monitor, 27"</t>
  </si>
  <si>
    <t>IT - Monitor, 32"</t>
  </si>
  <si>
    <t>IT - Monitor, 40"</t>
  </si>
  <si>
    <t>IT - NdFeB Magnet</t>
  </si>
  <si>
    <t>IT - NiMH Batterie (AAA)</t>
  </si>
  <si>
    <t>IT - Optical Network Unit (Transport- und Kernnetz)</t>
  </si>
  <si>
    <t>IT - Pads für drahtloses Laden mobiler Endgeräte (ohne Netzteil)</t>
  </si>
  <si>
    <t>IT - PC DVD Laufwerk</t>
  </si>
  <si>
    <t>IT - PC Festplatte 3,5“</t>
  </si>
  <si>
    <t>IT - PC Gehäuse</t>
  </si>
  <si>
    <t>IT - PC Mainboard (6 dm2 bestückte Leiterplatte)</t>
  </si>
  <si>
    <t>IT - PC Netzteil (intern)</t>
  </si>
  <si>
    <t>IT - Personal Computer</t>
  </si>
  <si>
    <t>IT - Notebook CPU</t>
  </si>
  <si>
    <t>IT - Notebook Display (15,4 Zoll)</t>
  </si>
  <si>
    <t>IT - Notebook Docking station</t>
  </si>
  <si>
    <t>IT - Notebook Gehäuse</t>
  </si>
  <si>
    <t>IT - Notebook Mainboard (1,6 dm2 bestückte Leiterplatte mit Heatpipe)</t>
  </si>
  <si>
    <t>IT - Notebook Netzteil (extern)</t>
  </si>
  <si>
    <t>IT - Mini-PC Gehäuse</t>
  </si>
  <si>
    <t>IT - Mini-PC Mainboard (1,6 dm2 bestückte Leiterplatte)</t>
  </si>
  <si>
    <t>IT - Mini-PC Netzteil (intern)</t>
  </si>
  <si>
    <t>IT - Mini-PC / Notebook DVD Laufwerk</t>
  </si>
  <si>
    <t>IT - Mini-PC / Notebook Festplatte 2,5“ (HDD)</t>
  </si>
  <si>
    <t>IT - Multifunktionsdrucker (Standgerät A3)</t>
  </si>
  <si>
    <t>IT - Multifunktionsdrucker (Standgerät A4)</t>
  </si>
  <si>
    <t>IT - Multifunktionsdrucker (Tischgerät A3)</t>
  </si>
  <si>
    <t>IT - Multifunktionsdrucker (Tischgerät A4)</t>
  </si>
  <si>
    <t>IT - PC / Mini-PC CPU</t>
  </si>
  <si>
    <t>IT-Prozess: Belichtung Innenlagen (HDI):Fertigung in CN</t>
  </si>
  <si>
    <t>IT-Prozess: Belichtung Innenlagen (HDI):Fertigung in DE</t>
  </si>
  <si>
    <t>IT-Prozess: Belichtung Innenlagen (HDI):Fertigung in der EU</t>
  </si>
  <si>
    <t>IT-Prozess: Bohrung Registrierung (HDI):Fertigung in CN</t>
  </si>
  <si>
    <t>IT-Prozess: Bohrung Registrierung (HDI):Fertigung in DE</t>
  </si>
  <si>
    <t>IT-Prozess: Bohrung Registrierung (HDI):Fertigung in der EU</t>
  </si>
  <si>
    <t>IT-Prozess: Entwickeln, Ätzen, Strippen (HDI, Außenlagen):Fertigung in CN</t>
  </si>
  <si>
    <t>IT-Prozess: Entwickeln, Ätzen, Strippen (HDI, Außenlagen):Fertigung in DE</t>
  </si>
  <si>
    <t>IT-Prozess: Entwickeln, Ätzen, Strippen (HDI, Außenlagen):Fertigung in der EU</t>
  </si>
  <si>
    <t>IT-Prozess: Entwickeln, Ätzen, Strippen (HDI, Innenlagen):Fertigung in CN</t>
  </si>
  <si>
    <t>IT-Prozess: Entwickeln, Ätzen, Strippen (HDI, Innenlagen):Fertigung in DE</t>
  </si>
  <si>
    <t>IT-Prozess: Entwickeln, Ätzen, Strippen (HDI, Innenlagen):Fertigung in der EU</t>
  </si>
  <si>
    <t>IT-Prozess: Flying Probe Test (HDI):Fertigung in CN</t>
  </si>
  <si>
    <t>IT-Prozess: Flying Probe Test (HDI):Fertigung in DE</t>
  </si>
  <si>
    <t>IT-Prozess: Flying Probe Test (HDI):Fertigung in der EU</t>
  </si>
  <si>
    <t>IT-Prozess: Galvanische Kupferabscheidung / Durchkontaktierung (HDI):Fertigung in CN</t>
  </si>
  <si>
    <t>IT-Prozess: Galvanische Kupferabscheidung / Durchkontaktierung (HDI):Fertigung in DE</t>
  </si>
  <si>
    <t>IT-Prozess: Galvanische Kupferabscheidung / Durchkontaktierung (HDI):Fertigung in der EU</t>
  </si>
  <si>
    <t>IT-Prozess: Hochdruckspülen (HDI):Fertigung in CN</t>
  </si>
  <si>
    <t>IT-Prozess: Hochdruckspülen (HDI):Fertigung in DE</t>
  </si>
  <si>
    <t>IT-Prozess: Hochdruckspülen (HDI):Fertigung in der EU</t>
  </si>
  <si>
    <t>IT-Prozess: Konturbehandlung (HDI):Fertigung in CN</t>
  </si>
  <si>
    <t>IT-Prozess: Konturbehandlung (HDI):Fertigung in DE</t>
  </si>
  <si>
    <t>IT-Prozess: Konturbehandlung (HDI):Fertigung in der EU</t>
  </si>
  <si>
    <t>IT-Prozess: Konturfräsen (HDI):Fertigung in CN</t>
  </si>
  <si>
    <t>IT-Prozess: Konturfräsen (HDI):Fertigung in DE</t>
  </si>
  <si>
    <t>IT-Prozess: Konturfräsen (HDI):Fertigung in der EU</t>
  </si>
  <si>
    <t>IT-Prozess: Lagenaufbau und Laminierpressen (HDI):Fertigung in CN</t>
  </si>
  <si>
    <t>IT-Prozess: Lagenaufbau und Laminierpressen (HDI):Fertigung in DE</t>
  </si>
  <si>
    <t>IT-Prozess: Lagenaufbau und Laminierpressen (HDI):Fertigung in der EU</t>
  </si>
  <si>
    <t>IT-Prozess: Laserdirektbelichtung (HDI):Fertigung in CN</t>
  </si>
  <si>
    <t>IT-Prozess: Laserdirektbelichtung (HDI):Fertigung in DE</t>
  </si>
  <si>
    <t>IT-Prozess: Laserdirektbelichtung (HDI):Fertigung in der EU</t>
  </si>
  <si>
    <t>IT-Prozess: Lötstoppmaske: Belichtung (HDI):Fertigung in CN</t>
  </si>
  <si>
    <t>IT-Prozess: Lötstoppmaske: Belichtung (HDI):Fertigung in der EU</t>
  </si>
  <si>
    <t>IT-Prozess: Lötstoppmaske: Beschichtung (HDI):Fertigung in CN</t>
  </si>
  <si>
    <t>IT-Prozess: Lötstoppmaske: Beschichtung (HDI):Fertigung in DE</t>
  </si>
  <si>
    <t>IT-Prozess: Lötstoppmaske: Beschichtung (HDI):Fertigung in der EU</t>
  </si>
  <si>
    <t>IT-Prozess: Lötstoppmaske: Entwicklung (HDI):Fertigung in CN</t>
  </si>
  <si>
    <t>IT-Prozess: Lötstoppmaske: Entwicklung (HDI):Fertigung in DE</t>
  </si>
  <si>
    <t>IT-Prozess: Lötstoppmaske: Entwicklung (HDI):Fertigung in der EU</t>
  </si>
  <si>
    <t>IT-Prozess: Lötstoppmaske: Vorreinigen (HDI):Fertigung in CN</t>
  </si>
  <si>
    <t>IT-Prozess: Lötstoppmaske: Vorreinigen (HDI):Fertigung in DE</t>
  </si>
  <si>
    <t>IT-Prozess: Lötstoppmaske: Vorreinigen (HDI):Fertigung in der EU</t>
  </si>
  <si>
    <t>IT-Prozess: Oberflächenbehandlung (HDI): Fertigung in CN</t>
  </si>
  <si>
    <t>IT-Prozess: Oberflächenbehandlung (HDI):Fertigung in DE</t>
  </si>
  <si>
    <t>IT-Prozess: Oberflächenbehandlung (HDI):Fertigung in der EU</t>
  </si>
  <si>
    <t>IT-Prozess: Plasmaätzen (HDI):Fertigung in CN</t>
  </si>
  <si>
    <t>IT-Prozess: Plasmaätzen (HDI):Fertigung in DE</t>
  </si>
  <si>
    <t>IT-Prozess: Plasmaätzen (HDI):Fertigung in der EU</t>
  </si>
  <si>
    <t>IT-Prozess: Reinigen / Entgraten (HDI):Fertigung in CN</t>
  </si>
  <si>
    <t>IT-Prozess: Reinigen / Entgraten (HDI):Fertigung in DE</t>
  </si>
  <si>
    <t>IT-Prozess: Reinigen / Entgraten (HDI):Fertigung in der EU</t>
  </si>
  <si>
    <t>IT-Prozess: Röntgenbohren (HDI, Durchkontaktierungen):Fertigung in CN</t>
  </si>
  <si>
    <t>IT-Prozess: Röntgenbohren (HDI, Durchkontaktierungen):Fertigung in DE</t>
  </si>
  <si>
    <t>IT-Prozess: Röntgenbohren (HDI, Durchkontaktierungen):Fertigung in der EU</t>
  </si>
  <si>
    <t>IT-Prozess: Scannen (HDI):Fertigung in CN</t>
  </si>
  <si>
    <t>IT-Prozess: Scannen (HDI):Fertigung in DE</t>
  </si>
  <si>
    <t>IT-Prozess: Scannen (HDI):Fertigung in der EU</t>
  </si>
  <si>
    <t>IT-Prozess: Schablonendruck (HDI):Fertigung in CN</t>
  </si>
  <si>
    <t>IT-Prozess: Schablonendruck (HDI):Fertigung in DE</t>
  </si>
  <si>
    <t>IT-Prozess: Schablonendruck (HDI):Fertigung in der EU</t>
  </si>
  <si>
    <t>IT-Prozess: Stromlos Nickel/Gold-Abscheidung:Fertigung in CN</t>
  </si>
  <si>
    <t>IT-Prozess: Stromlos Nickel/Gold-Abscheidung:Fertigung in DE</t>
  </si>
  <si>
    <t>IT-Prozess: Stromlos Nickel/Gold-Abscheidung:Fertigung in der EU</t>
  </si>
  <si>
    <t>IT-Prozess: Test, AOI (HDI):Fertigung in CN</t>
  </si>
  <si>
    <t>IT-Prozess: Test, AOI (HDI):Fertigung in DE</t>
  </si>
  <si>
    <t>IT-Prozess: Test, AOI (HDI):Fertigung in der EU</t>
  </si>
  <si>
    <t>IT-Prozess: Vorreinigung / Fotolack laminieren (HDI):Fertigung in CN</t>
  </si>
  <si>
    <t>IT-Prozess: Vorreinigung / Fotolack laminieren (HDI):Fertigung in DE</t>
  </si>
  <si>
    <t>IT-Prozess: Vorreinigung / Fotolack laminieren (HDI):Fertigung in der EU</t>
  </si>
  <si>
    <t>IT-Prozess: Vorreinigung / Laminieren Innenlagen (HDI):Fertigung in CN</t>
  </si>
  <si>
    <t>IT-Prozess: Vorreinigung / Laminieren Innenlagen (HDI):Fertigung in DE</t>
  </si>
  <si>
    <t>IT-Prozess: Vorreinigung / Laminieren Innenlagen (HDI):Fertigung in der EU</t>
  </si>
  <si>
    <t>IT-Prozess: Vorreinigung Oberflächenbeschichtung (HDI):Fertigung in CN</t>
  </si>
  <si>
    <t>IT-Prozess: Vorreinigung Oberflächenbeschichtung (HDI):Fertigung in DE</t>
  </si>
  <si>
    <t>IT-Prozess: Vorreinigung Oberflächenbeschichtung (HDI):Fertigung in der EU</t>
  </si>
  <si>
    <t>IT - Prozessor für Netzwerkgeräte, BGA</t>
  </si>
  <si>
    <t>IT - Radio Network Controller (Transport- und Kernnetz)</t>
  </si>
  <si>
    <t>IT - Router / Gateway (Transport- und Kernnetz)</t>
  </si>
  <si>
    <t>IT - Scanner (Tischgerät, A3)</t>
  </si>
  <si>
    <t>IT - Scanner (Tischgerät, A4)</t>
  </si>
  <si>
    <t>IT - Schnurlostelefon (mit Ladeschale)</t>
  </si>
  <si>
    <t>IT - Sensor Automobilelektronik, diverse Größen und Spezifikationen</t>
  </si>
  <si>
    <t>IT - SIM-Karte</t>
  </si>
  <si>
    <t>IT - Smartphone (Einsteigermodell)</t>
  </si>
  <si>
    <t>IT - Smartphone (High-End)</t>
  </si>
  <si>
    <t>IT - Smartphone (Mittelklasse)</t>
  </si>
  <si>
    <t>IT - SMD-Widerstand Automobilelektronik, diverse Größen und Spezifikationen</t>
  </si>
  <si>
    <t>IT - SMD-Widerstand für Leistungselektronik, diverse Größen und Spezifikationen</t>
  </si>
  <si>
    <t>IT - SMD-Widerstand für Netzwerkgeräte, diverse Größen und Spezifikationen</t>
  </si>
  <si>
    <t>IT - Solid State Drive (SSD)</t>
  </si>
  <si>
    <t>IT - Standard-Headset</t>
  </si>
  <si>
    <t>IT - Switch (Transport- und Kernnetz)</t>
  </si>
  <si>
    <t>IT - Tablet</t>
  </si>
  <si>
    <t>IT - Tastatur, drahtlos</t>
  </si>
  <si>
    <t>IT - Tastatur, kabelgebunden</t>
  </si>
  <si>
    <t>IT - Transistor Automobilelektronik, diverse Größen und Spezifikationen</t>
  </si>
  <si>
    <t>IT - Transistor für Leistungselektronik, Durchschnitt DFN, SOT Bauformen</t>
  </si>
  <si>
    <t>IT - Transistor für Netzwerkgeräte, Durchschnitt SO-8, SOIC 24, SOT23 Bauformen</t>
  </si>
  <si>
    <t>IT - WLAN-Modul</t>
  </si>
  <si>
    <t>Papier, recycelt</t>
  </si>
  <si>
    <t>Lebensmittel - Schlagsahne</t>
  </si>
  <si>
    <t>Schlagsahne</t>
  </si>
  <si>
    <t>Material/Stoff/Produktionsprozess</t>
  </si>
  <si>
    <t>Strommix Deutschland in kWh</t>
  </si>
  <si>
    <t>Ökostrom Deutschland in kWh</t>
  </si>
  <si>
    <t>Heizöl extraleicht in kWh</t>
  </si>
  <si>
    <t>Erdgas in kWh</t>
  </si>
  <si>
    <t>Flüssiggas in kWh</t>
  </si>
  <si>
    <t>Diesel (Beimischung 3.2% energetisch) in kWh</t>
  </si>
  <si>
    <t>Benzin (Beimischung 3.2% energetisch) in kWh</t>
  </si>
  <si>
    <t>Holzpellets in kWh</t>
  </si>
  <si>
    <t>Holz in kWh</t>
  </si>
  <si>
    <t>Biodiesel in kWh</t>
  </si>
  <si>
    <t>Bioethanol in kWh</t>
  </si>
  <si>
    <r>
      <t xml:space="preserve">Nettopreis(e)
bezogen auf </t>
    </r>
    <r>
      <rPr>
        <b/>
        <u/>
        <sz val="11"/>
        <color theme="1"/>
        <rFont val="Calibri"/>
        <family val="2"/>
        <scheme val="minor"/>
      </rPr>
      <t>eine</t>
    </r>
    <r>
      <rPr>
        <b/>
        <sz val="11"/>
        <color theme="1"/>
        <rFont val="Calibri"/>
        <family val="2"/>
        <scheme val="minor"/>
      </rPr>
      <t xml:space="preserve"> funktionelle Einheit</t>
    </r>
  </si>
  <si>
    <r>
      <t xml:space="preserve">Summe Einmalkosten bezogen auf </t>
    </r>
    <r>
      <rPr>
        <b/>
        <u/>
        <sz val="11"/>
        <color theme="1"/>
        <rFont val="Calibri"/>
        <family val="2"/>
        <scheme val="minor"/>
      </rPr>
      <t>eine</t>
    </r>
    <r>
      <rPr>
        <b/>
        <sz val="11"/>
        <color theme="1"/>
        <rFont val="Calibri"/>
        <family val="2"/>
        <scheme val="minor"/>
      </rPr>
      <t xml:space="preserve"> funktionelle Einheit:</t>
    </r>
  </si>
  <si>
    <r>
      <t xml:space="preserve">Gesamtsumme Transport- und Installationskosten
bezogen auf </t>
    </r>
    <r>
      <rPr>
        <b/>
        <u/>
        <sz val="11"/>
        <color theme="1"/>
        <rFont val="Calibri"/>
        <family val="2"/>
        <scheme val="minor"/>
      </rPr>
      <t>eine</t>
    </r>
    <r>
      <rPr>
        <b/>
        <sz val="11"/>
        <color theme="1"/>
        <rFont val="Calibri"/>
        <family val="2"/>
        <scheme val="minor"/>
      </rPr>
      <t xml:space="preserve"> funktionelle Einheit:</t>
    </r>
  </si>
  <si>
    <r>
      <t xml:space="preserve">Summe Transportkosten 
bezogen auf </t>
    </r>
    <r>
      <rPr>
        <b/>
        <u/>
        <sz val="11"/>
        <color theme="1"/>
        <rFont val="Calibri"/>
        <family val="2"/>
        <scheme val="minor"/>
      </rPr>
      <t>eine</t>
    </r>
    <r>
      <rPr>
        <b/>
        <sz val="11"/>
        <color theme="1"/>
        <rFont val="Calibri"/>
        <family val="2"/>
        <scheme val="minor"/>
      </rPr>
      <t xml:space="preserve"> funktionelle Einheit:</t>
    </r>
  </si>
  <si>
    <r>
      <t xml:space="preserve">Summe Installationskosten 
bezogen auf </t>
    </r>
    <r>
      <rPr>
        <b/>
        <u/>
        <sz val="11"/>
        <color theme="1"/>
        <rFont val="Calibri"/>
        <family val="2"/>
        <scheme val="minor"/>
      </rPr>
      <t>eine</t>
    </r>
    <r>
      <rPr>
        <b/>
        <sz val="11"/>
        <color theme="1"/>
        <rFont val="Calibri"/>
        <family val="2"/>
        <scheme val="minor"/>
      </rPr>
      <t xml:space="preserve"> funktionelle Einheit:</t>
    </r>
  </si>
  <si>
    <r>
      <t xml:space="preserve">Energiekosten - bezogen auf </t>
    </r>
    <r>
      <rPr>
        <b/>
        <u/>
        <sz val="16"/>
        <color theme="1"/>
        <rFont val="Calibri"/>
        <family val="2"/>
        <scheme val="minor"/>
      </rPr>
      <t>eine</t>
    </r>
    <r>
      <rPr>
        <b/>
        <sz val="16"/>
        <color theme="1"/>
        <rFont val="Calibri"/>
        <family val="2"/>
        <scheme val="minor"/>
      </rPr>
      <t xml:space="preserve"> funktionelle Einheit</t>
    </r>
  </si>
  <si>
    <r>
      <t xml:space="preserve">Wartungskosten durch Bietenden - bezogen auf </t>
    </r>
    <r>
      <rPr>
        <b/>
        <u/>
        <sz val="16"/>
        <color theme="1"/>
        <rFont val="Calibri"/>
        <family val="2"/>
        <scheme val="minor"/>
      </rPr>
      <t>eine</t>
    </r>
    <r>
      <rPr>
        <b/>
        <sz val="16"/>
        <color theme="1"/>
        <rFont val="Calibri"/>
        <family val="2"/>
        <scheme val="minor"/>
      </rPr>
      <t xml:space="preserve"> funktionelle Einheit</t>
    </r>
  </si>
  <si>
    <r>
      <t xml:space="preserve">Wartungskosten durch Beschaffungsstelle - bezogen auf </t>
    </r>
    <r>
      <rPr>
        <b/>
        <u/>
        <sz val="16"/>
        <color theme="1"/>
        <rFont val="Calibri"/>
        <family val="2"/>
        <scheme val="minor"/>
      </rPr>
      <t>eine</t>
    </r>
    <r>
      <rPr>
        <b/>
        <sz val="16"/>
        <color theme="1"/>
        <rFont val="Calibri"/>
        <family val="2"/>
        <scheme val="minor"/>
      </rPr>
      <t xml:space="preserve"> funktionelle Einheit</t>
    </r>
  </si>
  <si>
    <t>Das LCC-CO2 Tool des Umweltbundesamtes zur Sichtbarmachung von Umweltwirkungen und den damit verbundenen Lebenszykluskosten und CO2-Kosten von Treibhausgasemissionen in der öffentlichen Beschaffung basiert auf dem ursprünglich von der Österreichischen Bundesbahn (ÖBB) entwickelten "TCOCO2 Berechnungsmodell".</t>
  </si>
  <si>
    <t>Wenn Sie Fragen zum LCC-CO2 Tool des Umweltbundesamtes haben, wenden Sie sich bitte an:</t>
  </si>
  <si>
    <t xml:space="preserve">Der Energieverbrauch wird aus dem Tabellenblatt "THG-Emissionen" übernommen und bei Bedarf in kWh umgerechnet. </t>
  </si>
  <si>
    <r>
      <t xml:space="preserve">Energieverbrauch pro Jahr </t>
    </r>
    <r>
      <rPr>
        <b/>
        <u/>
        <sz val="11"/>
        <color theme="1"/>
        <rFont val="Calibri"/>
        <family val="2"/>
        <scheme val="minor"/>
      </rPr>
      <t>in kWh</t>
    </r>
    <r>
      <rPr>
        <b/>
        <sz val="11"/>
        <color theme="1"/>
        <rFont val="Calibri"/>
        <family val="2"/>
        <scheme val="minor"/>
      </rPr>
      <t xml:space="preserve"> (andere Einheiten werden in kWh umgerechnet):</t>
    </r>
  </si>
  <si>
    <t>Laufende Kosten (Gesamtlos)</t>
  </si>
  <si>
    <t>Summe Einmalkosten (Gesamtlos)</t>
  </si>
  <si>
    <t>Einmalkosten (Gesamtlos)</t>
  </si>
  <si>
    <t>Summe laufende Kosten (Gesamtlos) 
pro Jahr</t>
  </si>
  <si>
    <t>CO2-Kosten der prognostizierten THG-Emissionen (Gesamtlos)</t>
  </si>
  <si>
    <r>
      <t>LCC-CO</t>
    </r>
    <r>
      <rPr>
        <b/>
        <vertAlign val="subscript"/>
        <sz val="11"/>
        <rFont val="Calibri"/>
        <family val="2"/>
        <scheme val="minor"/>
      </rPr>
      <t>2</t>
    </r>
    <r>
      <rPr>
        <b/>
        <sz val="11"/>
        <rFont val="Calibri"/>
        <family val="2"/>
        <scheme val="minor"/>
      </rPr>
      <t xml:space="preserve"> Gesamtkosten pro Jahr</t>
    </r>
  </si>
  <si>
    <t xml:space="preserve">Energiekosten </t>
  </si>
  <si>
    <t>Unterkategorien</t>
  </si>
  <si>
    <t>Transport- und Installationskosten (Gesamtlos)</t>
  </si>
  <si>
    <t>Name des Bietenden</t>
  </si>
  <si>
    <t>Angebots-ID</t>
  </si>
  <si>
    <t>Hersteller der angebotenen Ware</t>
  </si>
  <si>
    <t>Typenbezeichnung der angebotenen Ware</t>
  </si>
  <si>
    <t>Ausschluss-Kriterien durch Bietenden erfüllt (ja/nein)?</t>
  </si>
  <si>
    <t>Laufzeitoption: zusätzlicher Optionszeitraum in Jahren</t>
  </si>
  <si>
    <r>
      <t>CO</t>
    </r>
    <r>
      <rPr>
        <b/>
        <vertAlign val="subscript"/>
        <sz val="14"/>
        <rFont val="Calibri"/>
        <family val="2"/>
        <scheme val="minor"/>
      </rPr>
      <t>2</t>
    </r>
    <r>
      <rPr>
        <b/>
        <sz val="14"/>
        <rFont val="Calibri"/>
        <family val="2"/>
        <scheme val="minor"/>
      </rPr>
      <t>-Kosten der THG-Emissionen</t>
    </r>
  </si>
  <si>
    <t xml:space="preserve">inkl. Inflation + Abzinsung </t>
  </si>
  <si>
    <t xml:space="preserve">Laufende Kosten 
inkl. Inflation + Abzinsung </t>
  </si>
  <si>
    <t>Gesamtlos (= Anzahl funktioneller Einheiten)</t>
  </si>
  <si>
    <r>
      <t>dient als Monetarisierungsfaktor; aktueller Wert: mindestens gemäß BEHG, 
oder hausinterner Vorgabe; UBA-Empfehlung: 195 €/Tonne CO</t>
    </r>
    <r>
      <rPr>
        <i/>
        <vertAlign val="subscript"/>
        <sz val="10"/>
        <rFont val="Calibri"/>
        <family val="2"/>
        <scheme val="minor"/>
      </rPr>
      <t>2</t>
    </r>
  </si>
  <si>
    <r>
      <t>CO</t>
    </r>
    <r>
      <rPr>
        <b/>
        <vertAlign val="subscript"/>
        <sz val="14"/>
        <rFont val="Calibri"/>
        <family val="2"/>
        <scheme val="minor"/>
      </rPr>
      <t>2</t>
    </r>
    <r>
      <rPr>
        <b/>
        <sz val="14"/>
        <rFont val="Calibri"/>
        <family val="2"/>
        <scheme val="minor"/>
      </rPr>
      <t>-Preis</t>
    </r>
  </si>
  <si>
    <r>
      <t xml:space="preserve">Lebenszykluskosten (LCC) mit </t>
    </r>
    <r>
      <rPr>
        <b/>
        <u/>
        <sz val="26"/>
        <rFont val="Calibri"/>
        <family val="2"/>
        <scheme val="minor"/>
      </rPr>
      <t>separater</t>
    </r>
    <r>
      <rPr>
        <b/>
        <sz val="26"/>
        <rFont val="Calibri"/>
        <family val="2"/>
        <scheme val="minor"/>
      </rPr>
      <t xml:space="preserve"> Ausweisung der CO</t>
    </r>
    <r>
      <rPr>
        <b/>
        <vertAlign val="subscript"/>
        <sz val="26"/>
        <rFont val="Calibri"/>
        <family val="2"/>
        <scheme val="minor"/>
      </rPr>
      <t>2</t>
    </r>
    <r>
      <rPr>
        <b/>
        <sz val="26"/>
        <rFont val="Calibri"/>
        <family val="2"/>
        <scheme val="minor"/>
      </rPr>
      <t>-Kosten</t>
    </r>
  </si>
  <si>
    <r>
      <t xml:space="preserve">Lebenszykluskosten (LCC) </t>
    </r>
    <r>
      <rPr>
        <b/>
        <u/>
        <sz val="26"/>
        <rFont val="Calibri"/>
        <family val="2"/>
        <scheme val="minor"/>
      </rPr>
      <t>inklusive</t>
    </r>
    <r>
      <rPr>
        <b/>
        <sz val="26"/>
        <rFont val="Calibri"/>
        <family val="2"/>
        <scheme val="minor"/>
      </rPr>
      <t xml:space="preserve"> CO</t>
    </r>
    <r>
      <rPr>
        <b/>
        <vertAlign val="subscript"/>
        <sz val="26"/>
        <rFont val="Calibri"/>
        <family val="2"/>
        <scheme val="minor"/>
      </rPr>
      <t>2</t>
    </r>
    <r>
      <rPr>
        <b/>
        <sz val="26"/>
        <rFont val="Calibri"/>
        <family val="2"/>
        <scheme val="minor"/>
      </rPr>
      <t>-Kosten</t>
    </r>
  </si>
  <si>
    <t>Angebotspreis und LCC-Gesamtkosten inklusive CO2-Kosten des Angebots</t>
  </si>
  <si>
    <t xml:space="preserve">LCC-Kosten ohne CO2-Kosten, pro Jahr  </t>
  </si>
  <si>
    <t>Gesamtanzahl funktioneller Einheiten, die laut Ausschreibung gefordert sind</t>
  </si>
  <si>
    <r>
      <t xml:space="preserve">Energieverbrauch für die Herstellung </t>
    </r>
    <r>
      <rPr>
        <i/>
        <u/>
        <sz val="11"/>
        <rFont val="Calibri"/>
        <family val="2"/>
        <scheme val="minor"/>
      </rPr>
      <t>einer</t>
    </r>
    <r>
      <rPr>
        <i/>
        <sz val="11"/>
        <rFont val="Calibri"/>
        <family val="2"/>
        <scheme val="minor"/>
      </rPr>
      <t xml:space="preserve"> funktionellen Einheit gemäß Zertifikatsnachweis. Als Zertifikat dient eine (Produkt-)Ökobilanz nach ISO 14040/44 , bei der die potenziellen THG-Emissionen entlang des Lebenszyklus betrachtet werden, eine produktbezogene Klimabilanz nach DIN EN ISO 14067:2019-02, 
oder eine Klimabilanz nach gleichwertigen Standards.</t>
    </r>
  </si>
  <si>
    <t>Die Beschaffungsstelle trägt hier den Zielort ein.</t>
  </si>
  <si>
    <t>Wenn die Produkte aus verschiedenen Orten angeliefert werden, bitte die durchschnittliche Distanz berechnen und die Berechnung dem Angebot beilegen.</t>
  </si>
  <si>
    <t xml:space="preserve">Findet keine Unterteilung auf unterschiedliche Transportmittel statt, tragen Sie bei Typ 1 bitte die Gesamtstrecke ein. </t>
  </si>
  <si>
    <t>"Erdaushub Bagger", wenn das gelieferte Produkt vor Ort errichtet werden soll;</t>
  </si>
  <si>
    <t>dann z.B. "PKW Diesel" auswählen und bei Einsatz die Kilometerangabe eingeben</t>
  </si>
  <si>
    <t>Vorgabe der Beschaffungsstelle. Ggf. muss der rechnerisch ermittelte Wert 
händisch überschrieben werden, um den Ausschreibungsunterlagen zu entsprechen (z.B. wenn im Jahr 'x' eine Pause eingelegt wird)</t>
  </si>
  <si>
    <t>Verbrauch</t>
  </si>
  <si>
    <t>Ist die erforderliche Tätigkeit im Dropdown nicht vorhanden, THG-Emissionen entweder selbst ausrechnen und Rechnung beifügen, bzw. Tätigkeit in Einzeltätigkeit unterteilen und auf Beiblatt dem Angebot beifügen</t>
  </si>
  <si>
    <t>Nutzen Sie spezifischere Wartungstätigkeiten, so ergänzen Sie diese inkl. Emissions-faktoren und Quellenangabe im Tabellenblatt "Emissionsfaktoren_Lebenszyklus" 
in den blauen Zellen am Ende der Liste. Danach können Sie diese hier auswählen.</t>
  </si>
  <si>
    <t>dann bei Einsatz die auszuhebenden Kubikmeter eingeben.</t>
  </si>
  <si>
    <t>Bitte die Distanz mit Google Maps berechnen (Nachvollziehbarkeit).</t>
  </si>
  <si>
    <t xml:space="preserve">Bitte die Distanz mit Google Maps berechnen (Nachvollziehbarkeit). </t>
  </si>
  <si>
    <t>Gesamtgewicht der Liefergüter gemäß Zertifikat inkl. der Verpackung.</t>
  </si>
  <si>
    <t>(Ändert sich das Gewicht auf der Transportstrecke, weil entlang der Lieferkette 
Teile ergänzt werden, so muss das bei den einzelnen Transportmitteln, siehe nächster Abschnitt, berücksichtigt werden).</t>
  </si>
  <si>
    <t>THG-Emissionen aus der Produktion</t>
  </si>
  <si>
    <r>
      <t>kg  CO</t>
    </r>
    <r>
      <rPr>
        <b/>
        <vertAlign val="subscript"/>
        <sz val="11"/>
        <color theme="1"/>
        <rFont val="Calibri"/>
        <family val="2"/>
        <scheme val="minor"/>
      </rPr>
      <t>2e</t>
    </r>
  </si>
  <si>
    <t>Flugzeug Durchschnitt international, Personenkilometer</t>
  </si>
  <si>
    <t>Flugzeug Durchschnitt national, Personnekilometer</t>
  </si>
  <si>
    <t>Flugzeug Durchschnitt national + intern., Personenkilometer</t>
  </si>
  <si>
    <t>Linienbus ÖV (D inkl. E), Personenkilometer</t>
  </si>
  <si>
    <t>Linienbus ÖV (D inkl. E), Fahrzeugkilometer</t>
  </si>
  <si>
    <t>Bahn Personenverkehr in Österreich, Personenkilometer</t>
  </si>
  <si>
    <t>Bahn Personenverkehr in Österreich, Fahrzeugkilometer</t>
  </si>
  <si>
    <t>BEV AT (Ökostrom, Österr. Umweltzeichen 46), Personenkilometer</t>
  </si>
  <si>
    <t>BEV AT (Ökostrom, Österr. Umweltzeichen 46), Fahrzeugkilometer</t>
  </si>
  <si>
    <t>Elektrobus, Ökostrom, Fahrzeugkilometer</t>
  </si>
  <si>
    <t>Elektrobus, Strommix Österreich, Fahrzeugkilometer</t>
  </si>
  <si>
    <t>Flugzeug Durchschnitt international, Fahrzeugkilometer</t>
  </si>
  <si>
    <t>Flugzeug Durchschnitt national, Fahrzeugkilometer</t>
  </si>
  <si>
    <t>Flugzeug Durchschnitt national + intern., Fahrzeugkilometer</t>
  </si>
  <si>
    <t>LKW Durchschnitt (3,5t-40t, Diesel), Fahrzeugkilometer</t>
  </si>
  <si>
    <t>LKW LNF &lt; 3,5t (Diesel), Fahrzeugkilometer</t>
  </si>
  <si>
    <t>LKW SNF &lt; 18t (Diesel), Fahrzeugkilometer</t>
  </si>
  <si>
    <t>LKW SNF &gt; 18t (Diesel), Fahrzeugkilometer</t>
  </si>
  <si>
    <t>Stunden</t>
  </si>
  <si>
    <t>Unimog Mercedes Benz 435, Fahrzeugkilometer</t>
  </si>
  <si>
    <t>Unimog Mercedes Benz 435, Stunden</t>
  </si>
  <si>
    <t>Bahn Güterverkehr EU-Mix</t>
  </si>
  <si>
    <t>LKW Sattelzüge 40t (D)</t>
  </si>
  <si>
    <t>LKW SNF &gt; 18 t (D)</t>
  </si>
  <si>
    <t>LKW SNF &lt; 18 t (D)</t>
  </si>
  <si>
    <t>LKW LNF &lt; 3,5 t (D)</t>
  </si>
  <si>
    <t>LKW Durchschnitt (3,5-40 t, D)</t>
  </si>
  <si>
    <t>Luftfracht Kurzstrecke &lt;1000 km</t>
  </si>
  <si>
    <t>Luftfracht Mittelstrecke 1000-3000 km</t>
  </si>
  <si>
    <t>Luftfracht Langstrecke &gt;3000 km</t>
  </si>
  <si>
    <t>Bahn Güterverkehr in Österreich, Fahrzeugkilometer</t>
  </si>
  <si>
    <t>Bahn Personenverkehr in Deutschland, Personenkilometer</t>
  </si>
  <si>
    <t>Schienenwechsel inkl. Anfahrt, Abfahrt und Neuschienenmaterial</t>
  </si>
  <si>
    <t>THG Emissionswert gemäß Zertifikatsnachweis für eine funktionelle Einheit.</t>
  </si>
  <si>
    <t>Produktion - Stoffe</t>
  </si>
  <si>
    <t>Produktion - Energie</t>
  </si>
  <si>
    <r>
      <t xml:space="preserve">alle Werte </t>
    </r>
    <r>
      <rPr>
        <i/>
        <u/>
        <sz val="9"/>
        <color theme="1"/>
        <rFont val="Calibri"/>
        <family val="2"/>
        <scheme val="minor"/>
      </rPr>
      <t>ohne</t>
    </r>
    <r>
      <rPr>
        <i/>
        <sz val="9"/>
        <color theme="1"/>
        <rFont val="Calibri"/>
        <family val="2"/>
        <scheme val="minor"/>
      </rPr>
      <t xml:space="preserve"> Inflation &amp; Abzinsung</t>
    </r>
  </si>
  <si>
    <t>Betriebszeit/-leistung x pro Jahr</t>
  </si>
  <si>
    <t>Vorgabe der Beschaffungsstelle in "Einheit" pro Jahr (z.B. x Tage oder x Stunden)</t>
  </si>
  <si>
    <t>Installation/Errichtung</t>
  </si>
  <si>
    <t>Antransport zum Zielort</t>
  </si>
  <si>
    <t>Energiebedarf Nutzung</t>
  </si>
  <si>
    <r>
      <t>€/Tonne CO</t>
    </r>
    <r>
      <rPr>
        <b/>
        <vertAlign val="subscript"/>
        <sz val="14"/>
        <rFont val="Calibri"/>
        <family val="2"/>
        <scheme val="minor"/>
      </rPr>
      <t>2</t>
    </r>
  </si>
  <si>
    <t>funktionelle Einheit</t>
  </si>
  <si>
    <r>
      <t xml:space="preserve">Gesamt pro </t>
    </r>
    <r>
      <rPr>
        <b/>
        <u/>
        <sz val="14"/>
        <color theme="1"/>
        <rFont val="Calibri"/>
        <family val="2"/>
        <scheme val="minor"/>
      </rPr>
      <t>eine</t>
    </r>
    <r>
      <rPr>
        <b/>
        <sz val="14"/>
        <color theme="1"/>
        <rFont val="Calibri"/>
        <family val="2"/>
        <scheme val="minor"/>
      </rPr>
      <t xml:space="preserve"> funktionelle Einheit</t>
    </r>
  </si>
  <si>
    <t>Gesamtlos (= Gesamtzahl funktioneller Einheiten)</t>
  </si>
  <si>
    <t>Brennholz_Raummeter</t>
  </si>
  <si>
    <t>Brennholz_Festmeter</t>
  </si>
  <si>
    <t>Verbrauch (kWh/Jahr)</t>
  </si>
  <si>
    <t>Aktuelle Preise für die verschiedenen Energietypen je Einheit:</t>
  </si>
  <si>
    <t>Beimischung 3.2% energetisch</t>
  </si>
  <si>
    <t>Dort sind die Daten durch den Bietenden einzugeben. Sie werden hier mit den aktuellen Preisen, vorgegeben gemäß Beschaffungsstelle, multipliziert.</t>
  </si>
  <si>
    <t>_Energieträger Mobilität</t>
  </si>
  <si>
    <t>_Energieträger Wärme Liegenschaften</t>
  </si>
  <si>
    <t xml:space="preserve">_Strombezug Liegenschaften/Mobilität </t>
  </si>
  <si>
    <t>_Strombezug Liegenschaften/Mobilität 2</t>
  </si>
  <si>
    <t>_Energieträger Wärme Liegenschaften2</t>
  </si>
  <si>
    <t>_Energieträger Mobilität2</t>
  </si>
  <si>
    <t>Bitte spezifizieren: Anmerkung, z.B. Komponenten</t>
  </si>
  <si>
    <r>
      <t>Angebotspreis und LCC-Kosten mit separater Ausweisung/Wertung der CO</t>
    </r>
    <r>
      <rPr>
        <b/>
        <vertAlign val="subscript"/>
        <sz val="16"/>
        <rFont val="Calibri"/>
        <family val="2"/>
        <scheme val="minor"/>
      </rPr>
      <t>2</t>
    </r>
    <r>
      <rPr>
        <b/>
        <sz val="16"/>
        <rFont val="Calibri"/>
        <family val="2"/>
        <scheme val="minor"/>
      </rPr>
      <t>-Kosten des Angebots</t>
    </r>
  </si>
  <si>
    <r>
      <t>CO</t>
    </r>
    <r>
      <rPr>
        <b/>
        <vertAlign val="subscript"/>
        <sz val="14"/>
        <color theme="1"/>
        <rFont val="Calibri"/>
        <family val="2"/>
        <scheme val="minor"/>
      </rPr>
      <t>2</t>
    </r>
    <r>
      <rPr>
        <b/>
        <sz val="14"/>
        <color theme="1"/>
        <rFont val="Calibri"/>
        <family val="2"/>
        <scheme val="minor"/>
      </rPr>
      <t>-Kosten der THG-Emissionen, separat zu bewerten</t>
    </r>
  </si>
  <si>
    <t>Erreichte Punkte Preis
des eingereichten Angebots</t>
  </si>
  <si>
    <t>Erreichte Punkte Qualität 
des eingereichten Angebots</t>
  </si>
  <si>
    <t>Erreichte Gesamtpunkte (Preis+Qualität) 
des eingereichten Angebots</t>
  </si>
  <si>
    <t>Einzelbewertung: siehe Tabellenblatt "Punktevergabe Details"</t>
  </si>
  <si>
    <t xml:space="preserve">LCC-Kosten über Nutzungsdauer
</t>
  </si>
  <si>
    <r>
      <rPr>
        <b/>
        <sz val="11"/>
        <rFont val="Calibri"/>
        <family val="2"/>
        <scheme val="minor"/>
      </rPr>
      <t>CO</t>
    </r>
    <r>
      <rPr>
        <b/>
        <vertAlign val="subscript"/>
        <sz val="11"/>
        <rFont val="Calibri"/>
        <family val="2"/>
        <scheme val="minor"/>
      </rPr>
      <t>2</t>
    </r>
    <r>
      <rPr>
        <b/>
        <sz val="11"/>
        <rFont val="Calibri"/>
        <family val="2"/>
        <scheme val="minor"/>
      </rPr>
      <t>-</t>
    </r>
    <r>
      <rPr>
        <b/>
        <sz val="11"/>
        <color theme="1"/>
        <rFont val="Calibri"/>
        <family val="2"/>
        <scheme val="minor"/>
      </rPr>
      <t>Kosten der THG-Emissionen über Nutzungsdauer</t>
    </r>
  </si>
  <si>
    <r>
      <t>LCC-CO</t>
    </r>
    <r>
      <rPr>
        <b/>
        <vertAlign val="subscript"/>
        <sz val="11"/>
        <rFont val="Calibri"/>
        <family val="2"/>
        <scheme val="minor"/>
      </rPr>
      <t>2</t>
    </r>
    <r>
      <rPr>
        <b/>
        <sz val="11"/>
        <rFont val="Calibri"/>
        <family val="2"/>
        <scheme val="minor"/>
      </rPr>
      <t xml:space="preserve"> Gesamtkosten über Nutzungsdauer</t>
    </r>
  </si>
  <si>
    <r>
      <t xml:space="preserve">Gesamtwertung 
des eingereichten Angebots 
(LCC-Ergebnis mit </t>
    </r>
    <r>
      <rPr>
        <b/>
        <u/>
        <sz val="11"/>
        <color theme="1"/>
        <rFont val="Calibri"/>
        <family val="2"/>
        <scheme val="minor"/>
      </rPr>
      <t>separater Ausweisung/Wertung</t>
    </r>
    <r>
      <rPr>
        <b/>
        <sz val="11"/>
        <color theme="1"/>
        <rFont val="Calibri"/>
        <family val="2"/>
        <scheme val="minor"/>
      </rPr>
      <t xml:space="preserve"> CO</t>
    </r>
    <r>
      <rPr>
        <b/>
        <vertAlign val="subscript"/>
        <sz val="11"/>
        <color theme="1"/>
        <rFont val="Calibri"/>
        <family val="2"/>
        <scheme val="minor"/>
      </rPr>
      <t>2</t>
    </r>
    <r>
      <rPr>
        <b/>
        <sz val="11"/>
        <color theme="1"/>
        <rFont val="Calibri"/>
        <family val="2"/>
        <scheme val="minor"/>
      </rPr>
      <t>-Kosten)</t>
    </r>
  </si>
  <si>
    <r>
      <t xml:space="preserve">Gesamtwertung 
des eingereichten Angebots 
(LCC-Ergebnis </t>
    </r>
    <r>
      <rPr>
        <b/>
        <u/>
        <sz val="11"/>
        <color theme="1"/>
        <rFont val="Calibri"/>
        <family val="2"/>
        <scheme val="minor"/>
      </rPr>
      <t>inklusive</t>
    </r>
    <r>
      <rPr>
        <b/>
        <sz val="11"/>
        <color theme="1"/>
        <rFont val="Calibri"/>
        <family val="2"/>
        <scheme val="minor"/>
      </rPr>
      <t xml:space="preserve"> 
CO</t>
    </r>
    <r>
      <rPr>
        <b/>
        <vertAlign val="subscript"/>
        <sz val="11"/>
        <color theme="1"/>
        <rFont val="Calibri"/>
        <family val="2"/>
        <scheme val="minor"/>
      </rPr>
      <t>2</t>
    </r>
    <r>
      <rPr>
        <b/>
        <sz val="11"/>
        <color theme="1"/>
        <rFont val="Calibri"/>
        <family val="2"/>
        <scheme val="minor"/>
      </rPr>
      <t>-Kosten)</t>
    </r>
  </si>
  <si>
    <r>
      <rPr>
        <i/>
        <u/>
        <sz val="11"/>
        <color theme="1"/>
        <rFont val="Calibri"/>
        <family val="2"/>
        <scheme val="minor"/>
      </rPr>
      <t>Anleitung für Beschaffende</t>
    </r>
    <r>
      <rPr>
        <i/>
        <sz val="11"/>
        <color theme="1"/>
        <rFont val="Calibri"/>
        <family val="2"/>
        <scheme val="minor"/>
      </rPr>
      <t xml:space="preserve">: Entscheiden Sie, ob Sie die Bewertung der Angebote auf Basis integrierter oder separater CO2-Kosten vornehmen wollen;  löschen Sie vor Versand des Tools mit den Ausschreibungsunterlagen entweder Tabellenblatt "Ergebnis LCC inkl. CO2-Kosten" und leeren hier Zellen F31-F41; oder löschen Sie das Tabellenblatt "Ergebnis LCC ohne CO2-Kosten" und leeren hier die Zellen G31-G41. </t>
    </r>
  </si>
  <si>
    <t xml:space="preserve">Fügen Sie in dem Fall bitte Nachweisunterlagen bei, wenn diese vorhanden sind, die den CO2-Wert belegen. </t>
  </si>
  <si>
    <t>Tabellenblatt "Ergebnis inkl. CO2-Kosten" | "Ergebnis ohne CO2-Kosten"</t>
  </si>
  <si>
    <t>- Ergebnis LCC inklusive CO2-Kosten; oder</t>
  </si>
  <si>
    <t>- Ergebnis LCC ohne CO2-Kosten</t>
  </si>
  <si>
    <t>- Punktevergabe Details</t>
  </si>
  <si>
    <t>- Emissionsfaktoren Stoffe</t>
  </si>
  <si>
    <t>- Emissionsfaktoren Prozesse</t>
  </si>
  <si>
    <t>- Emissionsfaktoren Lebenszyklus</t>
  </si>
  <si>
    <r>
      <t>LCC-CO</t>
    </r>
    <r>
      <rPr>
        <b/>
        <vertAlign val="subscript"/>
        <sz val="26"/>
        <color theme="1"/>
        <rFont val="Calibri"/>
        <family val="2"/>
        <scheme val="minor"/>
      </rPr>
      <t xml:space="preserve">2 </t>
    </r>
    <r>
      <rPr>
        <b/>
        <sz val="26"/>
        <color theme="1"/>
        <rFont val="Calibri"/>
        <family val="2"/>
        <scheme val="minor"/>
      </rPr>
      <t>Tool - ANLEITUNG BESCHAFFENDE</t>
    </r>
  </si>
  <si>
    <t xml:space="preserve">Das LCC-CO2-Tool kann für folgende Zwecke eingesetzt werden:
►    Interner Einsatz durch Bedarfsträger oder Beschaffungsstelle im Rahmen der Bedarfsermittlung zur Abschätzung der Wirtschaftlichkeit verschiedener Varianten und Konkretisierung des Auftragsgegenstands. 
►    Externer Einsatz im Beschaffungs- / Vergabeprozess (Aushändigung an und Ausfüllen durch Bietende) zur Ermittlung der Treibhausgasemissionen, CO2-Kosten und Wirtschaftlichkeit der eingereichten Angebote. </t>
  </si>
  <si>
    <r>
      <rPr>
        <b/>
        <sz val="11"/>
        <rFont val="Calibri"/>
        <family val="2"/>
        <scheme val="minor"/>
      </rPr>
      <t>Tabellenblätter "THG-Emissionen mit Zertifikat" | "THG-Emissionen ohne Zertifikat"</t>
    </r>
    <r>
      <rPr>
        <sz val="11"/>
        <rFont val="Calibri"/>
        <family val="2"/>
        <scheme val="minor"/>
      </rPr>
      <t xml:space="preserve">
In </t>
    </r>
    <r>
      <rPr>
        <u/>
        <sz val="11"/>
        <rFont val="Calibri"/>
        <family val="2"/>
        <scheme val="minor"/>
      </rPr>
      <t>beiden</t>
    </r>
    <r>
      <rPr>
        <sz val="11"/>
        <rFont val="Calibri"/>
        <family val="2"/>
        <scheme val="minor"/>
      </rPr>
      <t xml:space="preserve"> Tabellenblättern tragen Sie jeweils den Leistungsgegenstand gemäß Ausschreibung ("funktionelle Einheit") und die Gesamtanzahl der zu beschaffenden funktionellen Einheiten ein. 
Tragen Sie zudem den Zielort der Anlieferung (zur Berechnung der Transportaufwendungen), die geplante Nutzungsdauer in Jahren sowie - sofern für die zu beschaffende Ware relevant - die Nutzungsdauer pro Jahr (z.B. x Tage oder x Stunden) ein. </t>
    </r>
  </si>
  <si>
    <t>TABELLENBLÄTTER: Erläuterung der Funktionalitäten im Detail</t>
  </si>
  <si>
    <t xml:space="preserve">Diese beiden Tabellenblätter dienen zur Information der Bietenden über das Punktevergabeschema der vorliegenden Ausschreibung (Ausschlusskriterien; Gewichtung Preis vs. Qualität; Gesamtpunktzahl und erreichbare Punktzahl für technische und ökologische Zuschlagskriterien). 
Nach Rückerhalt der von den Bietenden ausgefüllten Tools mit den Angebotsunterlagen können Sie hier die Bewertung der Angebote vornehmen (Erfüllungsgrad der einzelnen Zuschlagskriterien, erreichte Preis- und Qualitätspunkte). Im Tabellenblatt "Punktevergabe Übersicht" werden Ihnen zudem die errechneten Werte für den Angebotspreis und die Lebenszykluskosten (inklusive bzw. mit separater Ausweisung der CO2-Kosten) der jeweiligen Angebote aufgezeigt, die Sie in die Bewertung der Wirtschaftlichkeit einbeziehen. 
Eine detaillierte Aufschlüsselung der Lebenszykluskosten, ggf. auch mit Investitionsrechnung zukünftig entstehender Kostenbestandteile, finden Sie im Ergebnis-Tabellenblatt, siehe unten.  </t>
  </si>
  <si>
    <t>Tabellenblätter "Einmalkosten" | "Transport- und Installationskosten" | "Laufende Kosten"</t>
  </si>
  <si>
    <t>Tabellenblätter "Ergebnis LCC inkl. CO2-Kosten" | "Ergebnis LCC ohne CO2-Kosten"</t>
  </si>
  <si>
    <t>Tabellenblätter "THG-Emissionen mit Zertifikat" |"THG-Emissionen ohne Zertifikat"</t>
  </si>
  <si>
    <r>
      <rPr>
        <b/>
        <sz val="11"/>
        <rFont val="Calibri"/>
        <family val="2"/>
        <scheme val="minor"/>
      </rPr>
      <t>Tabellenblatt "Investitionsrechnung"</t>
    </r>
    <r>
      <rPr>
        <sz val="11"/>
        <rFont val="Calibri"/>
        <family val="2"/>
        <scheme val="minor"/>
      </rPr>
      <t xml:space="preserve">
Hier tragen Sie - sofern für die zu beschaffende Ware relevant - die anzusetzende allgemeine Inflations- und Diskontrate ein. Damit können Sie, falls während der Nutzungsphase weitere Kosten in der Zukunft entstehen, diese für die Berechnung der Lebenszykluskosten auf- oder abzinsen. </t>
    </r>
  </si>
  <si>
    <t>Arbeitshilfe des Umweltbundesamtes zur Berechnung der Wirtschaftlichkeit in der Beschaffung (Prognose der Treibhausgasemissionen und der damit verbundenen CO2-Kosten, Ermittlung der Lebenszykluskosten inkl. CO2-Kosten)</t>
  </si>
  <si>
    <t xml:space="preserve">WAS IST ZU TUN 
=&gt; Einträge / Vorbereitung durch Beschaffungsstelle  </t>
  </si>
  <si>
    <r>
      <rPr>
        <b/>
        <sz val="11"/>
        <rFont val="Calibri"/>
        <family val="2"/>
        <scheme val="minor"/>
      </rPr>
      <t>Vor Versand mit Ausschreibungsunterlagen: Tabellenblätter / Einträge löschen!</t>
    </r>
    <r>
      <rPr>
        <sz val="11"/>
        <rFont val="Calibri"/>
        <family val="2"/>
        <scheme val="minor"/>
      </rPr>
      <t xml:space="preserve">
Bevor Sie die Exceldatei mit den Vergabeunterlagen versenden, löschen Sie das Tabellenblatt "Anleitung für Beschaffende" und wahlweise das Tabellenblatt "Ergebnis LCC inkl. CO2-Kosten" oder das Tabellenblatt "Ergebnis LCC ohne CO2-Kosten" sowie die nicht-zutreffende Ergebnisbewertung auf dem Tabellenblatt "Punktevergabe Übersicht" (Erläuterung siehe oben)
</t>
    </r>
  </si>
  <si>
    <r>
      <rPr>
        <b/>
        <sz val="11"/>
        <rFont val="Calibri"/>
        <family val="2"/>
        <scheme val="minor"/>
      </rPr>
      <t>Zellen in der Farbe der Tabellenblätter: keine Eingaben/Änderungen vornehmen</t>
    </r>
    <r>
      <rPr>
        <sz val="11"/>
        <rFont val="Calibri"/>
        <family val="2"/>
        <scheme val="minor"/>
      </rPr>
      <t xml:space="preserve">! Werte werden durch hinterlegte Formeln oder Verknüpfungen automatisch berechnet oder ausgegeben
</t>
    </r>
  </si>
  <si>
    <r>
      <rPr>
        <i/>
        <u/>
        <sz val="11"/>
        <rFont val="Calibri"/>
        <family val="2"/>
        <scheme val="minor"/>
      </rPr>
      <t>Material/Stoff</t>
    </r>
    <r>
      <rPr>
        <i/>
        <sz val="11"/>
        <rFont val="Calibri"/>
        <family val="2"/>
        <scheme val="minor"/>
      </rPr>
      <t xml:space="preserve">: bitte aus der Dropdown-Liste passende Materialien auswählen. Tipp: im Tabellenblatt "Emissionsfaktoren_Stoffe" sehen Sie übersichtlicher, welche Materialien hinterlegt sind (IT = Informations- und Kommunikationstechnologien; LM = Lebensmittel). </t>
    </r>
  </si>
  <si>
    <t xml:space="preserve">Nutzen Sie spezifischere Materialien, so ergänzen Sie diese inkl. Emissionsfaktoren </t>
  </si>
  <si>
    <t xml:space="preserve">und Quellenangabe im Tabellenblatt "Emissionsfaktoren_Stoffe" in den blauen Zellen </t>
  </si>
  <si>
    <t>am Ende der Liste. Danach können Sie diese ebenfalls hier auswählen.</t>
  </si>
  <si>
    <t xml:space="preserve">Hinweis: Der Wert der gesamten CO2-Belastung liegt meist ca. 10-20 % über dieser Summe. </t>
  </si>
  <si>
    <t xml:space="preserve">Um Angebote mit Treibhausgasangaben mit und ohne Zertifikat miteinander vergleichen zu "dürfen", 
bedarf es ohne Zertifikat einer gesonderten Eigenerklärung. </t>
  </si>
  <si>
    <r>
      <rPr>
        <u/>
        <sz val="11"/>
        <color theme="1"/>
        <rFont val="Calibri"/>
        <family val="2"/>
        <scheme val="minor"/>
      </rPr>
      <t>Kein Zertifikat vorhanden</t>
    </r>
    <r>
      <rPr>
        <sz val="11"/>
        <color theme="1"/>
        <rFont val="Calibri"/>
        <family val="2"/>
        <scheme val="minor"/>
      </rPr>
      <t xml:space="preserve">: In diesem Fall muss der Bietende durch eine </t>
    </r>
    <r>
      <rPr>
        <b/>
        <sz val="11"/>
        <color theme="1"/>
        <rFont val="Calibri"/>
        <family val="2"/>
        <scheme val="minor"/>
      </rPr>
      <t>Eigenerklärung den CO2 Wert für die Produktionsphase</t>
    </r>
    <r>
      <rPr>
        <sz val="11"/>
        <color theme="1"/>
        <rFont val="Calibri"/>
        <family val="2"/>
        <scheme val="minor"/>
      </rPr>
      <t xml:space="preserve"> angeben. Die Produktion umfasst dabei sämtliche Prozesse im Rahmen der Herstellung des Produktes, d.h. die Rohstoffextraktion, sämtliche Transporte, Herstellprozesse und die Montage am Produktionsstandort (sofern vorhanden). Dieser Wert wird dann für die Berechnung der produktionsbedingten Treibhausgasemissionen herangezogen. 
Zur Plausibilisierung muss der Bietende die Eingabefelder im Tabellenblatt "THG-Emissionen ohne Zertifikat" in der Phase 1: Produktion ausfüllen, d.h. die produktionsbezogenen THG-Emissionen der mengenmäßig relevantesten Materialien sowie die Treibhausgasemissionen aus dem energiebedingten Produktionsaufwand. 
Die THG-Emissionen der Produktherstellung werden durch diese beiden oberen Abschnitte plausibilisiert: 
THG-Emissionen (Material) + THG-Emissionen (Energie). 
Tipp: Sie finden beide Summanden im Tabellenblatt "Produktion" in Spalte L. Der Wert der gesamten CO2-Belastung der Produktion liegt meist ca. 10-20 % über dieser Summe der Einzelwerte. </t>
    </r>
  </si>
  <si>
    <r>
      <rPr>
        <b/>
        <sz val="11"/>
        <rFont val="Calibri"/>
        <family val="2"/>
        <scheme val="minor"/>
      </rPr>
      <t>Tabellenblätter "Emissionsfaktoren_Stoffe" | "Emissionsfaktoren_Prozesse" | "Emissionsfaktoren_Lebenszyklus"</t>
    </r>
    <r>
      <rPr>
        <sz val="11"/>
        <rFont val="Calibri"/>
        <family val="2"/>
        <scheme val="minor"/>
      </rPr>
      <t xml:space="preserve">
Sind Ihnen z.B. aus zurückliegenden Beschaffungsvorgängen oder durch Literaturrecherche spezifischere oder weitere Emissionsfaktoren für Ihre zu beschaffenden Waren bekannt, so fügen Sie diese als neue Zeilen in der alphabetischen Auflistung der vorhandenen Emissionsfaktoren ein. Sie erscheinen dann auf den anderen Tabellenblättern in den jeweiligen Dropdown-Auswahlfeldern. </t>
    </r>
  </si>
  <si>
    <t xml:space="preserve">Dieses Tabellenblatt dient dazu, diejenigen Kosten, die während der Nutzungsphase in der Zukunft entstehen werden, für die Berechnung der Lebenszykluskosten auf- oder abzuzinsen, d.h. potenzielle Preissteigerungs- bzw. Inflationsraten mit zu berücksichtigen. Die so genannte Barwertmethode wird auf die laufenden Kosten für Energiebedarfe sowie auf die Wartungskosten der Bietenden bzw. die Wartungskosten, die der Beschaffungsstelle entstehen, angewandt. In den Tabellenblättern "Ergebnis LCC inkl. / ohne CO2-Kosten" finden Sie den Gesamt-Angebotspreis und die Gesamt-Lebenszykluskosten inklusive bzw. mit separat ausgewiesenen CO2-Kosten jeweils auch als Werte inklusive Inflation + Abzinsung. Bei der Bewertung der Wirtschaftlichkeit von Angeboten ist die Anwendung der Barwertmethode insbesondere dann sinnvoll, wenn es deutliche Unterschiede bei den Energieverbräuchen und Wartungstätigkeiten der zu vergleichenden Angebote gibt.  
</t>
  </si>
  <si>
    <r>
      <rPr>
        <u/>
        <sz val="11"/>
        <color theme="1"/>
        <rFont val="Calibri"/>
        <family val="2"/>
        <scheme val="minor"/>
      </rPr>
      <t>THG-Emissionen durch angebotene Wartungstätigkeiten</t>
    </r>
    <r>
      <rPr>
        <sz val="11"/>
        <color theme="1"/>
        <rFont val="Calibri"/>
        <family val="2"/>
        <scheme val="minor"/>
      </rPr>
      <t xml:space="preserve">: Fallen solche während der Nutzungsdauer der beschafften Ware an, müssen die Bietenden die THG-Emissionen hinzu addieren, die z.B. durch den Austausch von Komponenten entstehen. Zum Beispiel ist beim Batterietausch eines E-Omnibusses nach x Jahren nicht nur der Antransport der Batterie, sondern auch der gesamte CO2-Emissionsbetrag der Produktion der neuen Batterie zu berücksichtigen. Zu jeder Wartungstätigkeit, die sich noch nicht im Tabellenblatt "Emissionsfaktoren_Lebenszyklus" und somit in der Dropdown-Auswahlliste im Blatt "THG-Emissionen" befindet, müssen die Bietenden eine Erklärung liefern, aus der alle Überlegungen und Zahlenwerte sowie die Berechnungen des Bietenden hervorgehen. Die Daten sind durch entsprechende Nachweisunterlagen zu belegen. Bei Fragen hierzu sollen sich die Bietenden rechtzeitig an die Ansprechperson gemäß Ausschreibungsunterlagen wenden, damit ihnen zeitgerecht geholfen werden kann.
</t>
    </r>
  </si>
  <si>
    <t>Tabellenblätter "Produktion" | "Transport + Installation" | "Nutzung"</t>
  </si>
  <si>
    <r>
      <t>Diese Tabellenblätter dienen zur Information - Eingaben sind keine notwendig. 
Hier finden Sie die Berechnungen für das LCC-CO2 Berechnungsmodell basierend auf den Eingabedaten der Bietenden in den Tabellenblättern "THG-Emissionen mit bzw. ohne Zertifikat". Sie können sich informieren, welche Auswirkungen verschiedene Materialien auf die CO</t>
    </r>
    <r>
      <rPr>
        <vertAlign val="subscript"/>
        <sz val="11"/>
        <rFont val="Calibri"/>
        <family val="2"/>
        <scheme val="minor"/>
      </rPr>
      <t>2</t>
    </r>
    <r>
      <rPr>
        <sz val="11"/>
        <rFont val="Calibri"/>
        <family val="2"/>
        <scheme val="minor"/>
      </rPr>
      <t xml:space="preserve">-Emissionskosten haben, bzw. wie sich diese berechnen. 
</t>
    </r>
  </si>
  <si>
    <t xml:space="preserve">In den weißen Tabellenblättern befinden sich die zugrunde liegenden Emissionsfaktoren der verschiedenen Materialien und Prozesse für das LCC-CO2-Berechnungsmodell. 
Eingaben sind hier keine notwendig. Als Beschaffungsstelle können Sie jedoch sukzessive spezifischere Daten - sofern vorhanden - für Ihre zu beschaffenden Waren zu den bereits vorhandenen Daten ergänzen, bevor Sie das Tool für Ihre Ausschreibung verwenden. Bietende können in den hellblauen Feldern unterhalb der jeweiligen Tabellenabschnitte spezifischere Daten ergänzen (mit Nachweis), sonstige Veränderungen sind nicht erlaubt. </t>
  </si>
  <si>
    <t xml:space="preserve">In diesem Tabellenblatt kann das detaillierte Ergebnis der Lebenszykluskostenberechnungen für das Gesamtlos, d.h. die Gesamtanzahl/-menge an zu beschaffenden Waren abgelesen und für die Bewertung der eingereichten Angebote genutzt werden. Die beiden Tabellenblätter zeigen auch die Berechnung des Angebotspreises und der Lebenszykluskosten unter Berücksichtigung von Inflation und Abzinsung (lila Rahmen und Felder). 
Die einzelnen Kostenbestandteile der Lebenszykluskosten (Einmalkosten, Transport- und Installationskosten, laufende Kosten) befinden sich in den blauen Rahmen; die prognostizierten Treibhausgasemissionen sowie die daraus resultierenden CO2-Kosten (entweder als Kostenbestandteil integriert in den LCC-Kosten oder separat ausgewiesen und zu bewerten) gemäß dem für die Ausschreibung angesetzten CO2-Preis befinden sich unten rechts im grünen Rahmen. 
</t>
  </si>
  <si>
    <t>Transport + Installation umfasst  die Anlieferung bzw. den Transport zum Bestimmungsort 
sowie die dortige Installation/Errichtung, sofern gemäß Leistungsbeschreibung erforderlich</t>
  </si>
  <si>
    <r>
      <t xml:space="preserve">Diese beiden Tabellenblätter dienen dazu, die mit der zu beschaffenden Ware verursachten Treibhausgas-emissionen über den Lebenszyklus zu prognostizieren, um die damit verbundenen CO2-Kosten zu ermitteln. 
Bietende prüfen, ob für die Treibhausgasemissionen ihrer anzubietenden Ware ein Zertifikat vorhanden ist oder nicht und wählen das entsprechende Tabellenblatt für die weiteren Dateneingaben. </t>
    </r>
    <r>
      <rPr>
        <sz val="11"/>
        <color rgb="FFFF0000"/>
        <rFont val="Calibri"/>
        <family val="2"/>
        <scheme val="minor"/>
      </rPr>
      <t xml:space="preserve"> 
</t>
    </r>
    <r>
      <rPr>
        <u/>
        <sz val="11"/>
        <rFont val="Calibri"/>
        <family val="2"/>
        <scheme val="minor"/>
      </rPr>
      <t>Zertifikat vorhanden</t>
    </r>
    <r>
      <rPr>
        <sz val="11"/>
        <rFont val="Calibri"/>
        <family val="2"/>
        <scheme val="minor"/>
      </rPr>
      <t xml:space="preserve">: Als </t>
    </r>
    <r>
      <rPr>
        <b/>
        <sz val="11"/>
        <rFont val="Calibri"/>
        <family val="2"/>
        <scheme val="minor"/>
      </rPr>
      <t>Zertifikat</t>
    </r>
    <r>
      <rPr>
        <sz val="11"/>
        <rFont val="Calibri"/>
        <family val="2"/>
        <scheme val="minor"/>
      </rPr>
      <t xml:space="preserve"> dient eine (Produkt-)Ökobilanz nach ISO 14040/44 , bei der die potenziellen THG-Emissionen entlang des Lebenszyklus betrachtet werden, eine produktbezogene Klimabilanz nach DIN EN ISO 14067:2019-02, oder eine Klimabilanz nach gleichwertigen Standards. Wenn in den Ausschreibungsunterlagen vorgegeben, müssen die Bietenden priorisiert das Tabellenblatt "THG-Emissionen mit Zertifikat" ausfüllen. Das Tabellenblatt "THG-Emissionen ohne Zertifikat" ist dann nicht zu befüllen.</t>
    </r>
    <r>
      <rPr>
        <sz val="11"/>
        <color theme="1"/>
        <rFont val="Calibri"/>
        <family val="2"/>
        <scheme val="minor"/>
      </rPr>
      <t xml:space="preserve"> Es wird den Bietenden empfohlen, sich ein Zertifikat über die Treibhausgasemissionen für jedes ihrer verfügbaren Produkte erstellen zu lassen. Mittelfristig sollte dies in allen Ausschreibungen gefordert werden. Will der Bietende ein Zertifikat für die Befüllung der Eingabedaten zur Ermittlung der Treibhausgasemissionen verwenden, so ist dieses (oder sind diese) als Anlage(n) zum Angebot beizufügen. Alternative Zertifikate sollen bei Gleichwertigkeit akzeptiert werden, auch diese sind vom Bietenden als Nachweis beizufügen.</t>
    </r>
  </si>
  <si>
    <r>
      <rPr>
        <u/>
        <sz val="11"/>
        <color theme="1"/>
        <rFont val="Calibri"/>
        <family val="2"/>
        <scheme val="minor"/>
      </rPr>
      <t>Auswahl an THG-Emissionswerten von Stoffen, Prozessen und Wartungstätigkeiten</t>
    </r>
    <r>
      <rPr>
        <sz val="11"/>
        <color theme="1"/>
        <rFont val="Calibri"/>
        <family val="2"/>
        <scheme val="minor"/>
      </rPr>
      <t>: Das LCC-CO2-Tool enthält eine Auswahl an THG-Emissionswerten, die die Bietenden zur Prognose der THG-Emissionen ihrer angebotenen Ware über die Dropdown-Auswahllisten verwenden können. Verfügen Bietende über spezifische Emissionswerte für ihr Angebot (Einträge durch Bietende in den hellblauen Zeilen in den Tabellenblättern "Emissionsfaktoren" möglich), so müssen sie dies durch Nachweisunterlagen, z.B. ein unabhängiges Gutachten/Zertifkat bestätigen, die den CO2-Wert belegen. In diesem Fall können Sie Werte des Bietenden für die Berechnung heranziehen. 
Sollte der Bietende Werte abändern, ohne eine solche unabhängige Bestätigung beizulegen, so ziehen Sie als Beschaffungsstelle wieder die im LCC-CO2-Tool aufgeführten öffentlichen Quellen für die Berechnungen heran. 
Auf der Internetseite des Umweltbundesamtes https://www.probas.umweltbundesamt.de/datenbank/#/ finden Sie eventuell fehlende Werte für Ihre zu beschaffenden Waren.</t>
    </r>
  </si>
  <si>
    <t>Installations- und Errichtungsprozesse</t>
  </si>
  <si>
    <t>nicht notwendig</t>
  </si>
  <si>
    <t>dann bitte bei Tätigkeit 1 "nicht notwendig" auswählen.</t>
  </si>
  <si>
    <t>Installations- und Errichtungsprozesse.</t>
  </si>
  <si>
    <t>Wird in Phase 2 (Installation und Errichtung)</t>
  </si>
  <si>
    <t>im Blatt "THG-Emissionen" verwendet.</t>
  </si>
  <si>
    <t>Wird in Phase 2 (Transportmittel zum Zielort)</t>
  </si>
  <si>
    <t>(Nutzung) im Blatt "THG-Emissionen" verwendet</t>
  </si>
  <si>
    <r>
      <t>Das Umweltbundesamt hat im RefoPlan-Vorhaben "Erarbeitung methodischer Grundlagen und Arbeitshilfen 
für Klimaschutz- und Kreislaufwirtschaftsaspekte in der öffentlichen Beschaffungspraxis" (FKZ 3721373070) 
die Weiterentwicklung seiner bisherigen Arbeitshilfen zu einem integrierten Excel-Tool „LCC-CO2“ für die Berechnung der Lebenszykluskosten, Abschätzung der Treibhausgasemissionen und Anwendung des CO</t>
    </r>
    <r>
      <rPr>
        <vertAlign val="subscript"/>
        <sz val="11"/>
        <color theme="1"/>
        <rFont val="Calibri"/>
        <family val="2"/>
        <scheme val="minor"/>
      </rPr>
      <t>2</t>
    </r>
    <r>
      <rPr>
        <sz val="11"/>
        <color theme="1"/>
        <rFont val="Calibri"/>
        <family val="2"/>
        <scheme val="minor"/>
      </rPr>
      <t xml:space="preserve">-Preises beauftragt. 
Vorgenommene Anpassungen des ursprünglichen Tools der ÖBB durch das beauftragte Öko-Institut: 
UBA-Layout; detaillierte Anleitungen für Beschaffende und Bietende; Aktualisierung und Ergänzung von hinterlegten Emissionsfaktoren; Bezug der hinterlegten Zahlenwerte zu Deutschland anstelle Österreich; Integration der Barwert-Methode (Diskontierung, d.h. Auf- bzw. Abzinsen von Zahlungsströmen, die in der Vergangenheit bzw. Zukunft liegen); Barrierefreiheit. </t>
    </r>
  </si>
  <si>
    <r>
      <t xml:space="preserve">Eine ausführliche Anleitung zum LCC-CO2 Tool finden Sie im </t>
    </r>
    <r>
      <rPr>
        <b/>
        <sz val="11"/>
        <color theme="1"/>
        <rFont val="Calibri"/>
        <family val="2"/>
        <scheme val="minor"/>
      </rPr>
      <t>Schulungsskript</t>
    </r>
    <r>
      <rPr>
        <sz val="11"/>
        <color theme="1"/>
        <rFont val="Calibri"/>
        <family val="2"/>
        <scheme val="minor"/>
      </rPr>
      <t xml:space="preserve"> und </t>
    </r>
    <r>
      <rPr>
        <b/>
        <sz val="11"/>
        <color theme="1"/>
        <rFont val="Calibri"/>
        <family val="2"/>
        <scheme val="minor"/>
      </rPr>
      <t>Schulungsvideo</t>
    </r>
    <r>
      <rPr>
        <sz val="11"/>
        <color theme="1"/>
        <rFont val="Calibri"/>
        <family val="2"/>
        <scheme val="minor"/>
      </rPr>
      <t xml:space="preserve"> unter 
### www.umweltbundesamt.de/… ###</t>
    </r>
    <r>
      <rPr>
        <sz val="11"/>
        <color theme="1"/>
        <rFont val="Calibri"/>
        <family val="2"/>
        <scheme val="minor"/>
      </rPr>
      <t xml:space="preserve"> </t>
    </r>
    <r>
      <rPr>
        <sz val="11"/>
        <rFont val="Calibri"/>
        <family val="2"/>
        <scheme val="minor"/>
      </rPr>
      <t>(Veröffentlichung Anfang-Mitte 2025 geplant).</t>
    </r>
  </si>
  <si>
    <t>### Email-Adresse ### (Adresse wird in der finalen Version ergänzt)</t>
  </si>
  <si>
    <r>
      <t>LCC-CO</t>
    </r>
    <r>
      <rPr>
        <b/>
        <vertAlign val="subscript"/>
        <sz val="26"/>
        <color theme="1"/>
        <rFont val="Calibri"/>
        <family val="2"/>
        <scheme val="minor"/>
      </rPr>
      <t xml:space="preserve">2 </t>
    </r>
    <r>
      <rPr>
        <b/>
        <sz val="26"/>
        <color theme="1"/>
        <rFont val="Calibri"/>
        <family val="2"/>
        <scheme val="minor"/>
      </rPr>
      <t>Tool - ANLEITUNG FÜR BIETENDE</t>
    </r>
  </si>
  <si>
    <t xml:space="preserve">Arbeitshilfe des Umweltbundesamtes für Beschaffungsstellen zur Prognose der Treibhausgasemissionen und Ermittlung der Lebenszykluskosten inkl. der CO2-Kosten für die eingereichten Angebote </t>
  </si>
  <si>
    <t xml:space="preserve">Diese drei Tabellenblätter dienen zur Erfassung der mit dem Angebot verbundenen Lebenszykluskosten-Bestandteile. Neben dem/den Anschaffungspreis(en) tragen die Bietenden, sofern relevant, auch Kosten ein, die durch die Anlieferung der Ware und/oder die Installation bzw. Errichtung vor Ort entstehen. 
Laufende Kosten können Kosten für Energie-, Treibstoff- oder Wärmebedarf während der Nutzungsdauer der zu beschaffenden Ware sein. Schließlich können die Bietenden Kosten für Wartungstätigkeiten während der Nutzungsdauer ansetzen. Hierbei wird unterschieden zwischen Wartungstätigkeiten, die gemäß Forderung in den Ausschreibungsunterlagen durch den Bietenden auszuführen sind, und/oder ggf. auch erforderliche Wartungstätigkeiten, die durch die Beschaffungsstelle selbst durchzuführen sind und deren Kosten in den Lebenszykluskosten berücksichtigt werden sollen. 
Stundenkostensätze, die nicht in den Ausschreibungsunterlagen vorgegeben sind, sind freizulassen. Hierzu wird erst in den folgenden Verhandlungsrunden zwischen Bietendem und Beschaffungsstelle die Klärung herbeigeführt. Wenn Sie als Bietender nichts eintragen, obwohl die Angaben in den Ausschreibungsunterlagen vorhanden sind, wird die Beschaffungsstelle diese Werte zur Auswertung eintragen.
</t>
  </si>
  <si>
    <t xml:space="preserve">In den weißen Tabellenblättern befinden sich die zugrunde liegenden Emissionsfaktoren der verschiedenen Materialien und Prozesse für das LCC-CO2-Berechnungsmodell. 
Eingaben sind hier keine notwendig. Beschaffungsstellen können sukzessive spezifischere Daten - sofern vorhanden - für die zu beschaffenden Waren zu den bereits vorhandenen Daten ergänzen, bevor sie das Tool für ihre Ausschreibungen verwenden. Bietende können in den hellblauen Feldern unterhalb der jeweiligen Tabellenabschnitte spezifischere Daten ergänzen (mit Nachweis), sonstige Veränderungen sind nicht erlaubt. </t>
  </si>
  <si>
    <t xml:space="preserve">WAS IST ZU TUN =&gt; Einträge durch die Bietenden  </t>
  </si>
  <si>
    <t>Firmenbezeichnung des Bietenden:</t>
  </si>
  <si>
    <r>
      <rPr>
        <u/>
        <sz val="11"/>
        <color theme="1"/>
        <rFont val="Calibri"/>
        <family val="2"/>
        <scheme val="minor"/>
      </rPr>
      <t>Auswahl an THG-Emissionswerten von Stoffen, Prozessen und Wartungstätigkeiten</t>
    </r>
    <r>
      <rPr>
        <sz val="11"/>
        <color theme="1"/>
        <rFont val="Calibri"/>
        <family val="2"/>
        <scheme val="minor"/>
      </rPr>
      <t xml:space="preserve">: Das LCC-CO2-Tool enthält eine Auswahl an THG-Emissionswerten, die die Bietenden zur Prognose der THG-Emissionen ihrer angebotenen Ware über die Dropdown-Auswahllisten verwenden können. Verfügen Bietende über spezifische Emissionswerte für ihr Angebot (Einträge durch Bietende in den hellblauen Zeilen in den Tabellenblättern "Emissionsfaktoren" möglich), so müssen sie dies durch Nachweisunterlagen, z.B. ein unabhängiges Gutachten/Zertifkat bestätigen, die den CO2-Wert belegen. In diesem Fall kann die Beschaffungsstelle die Werte des Bietenden für die Berechnung heranziehen. Auf der Internetseite des Umweltbundesamtes https://www.probas.umweltbundesamt.de/datenbank/#/ finden Sie eventuell fehlende Werte für Ihre anzubietenden Waren.
Sollte der Bietende Werte abändern, ohne eine solche unabhängige Bestätigung beizulegen, so zieht die Beschaffungsstelle wieder die im LCC-CO2-Tool aufgeführten öffentlichen Quellen für die Berechnungen heran. </t>
    </r>
  </si>
  <si>
    <r>
      <rPr>
        <u/>
        <sz val="11"/>
        <color theme="1"/>
        <rFont val="Calibri"/>
        <family val="2"/>
        <scheme val="minor"/>
      </rPr>
      <t>THG-Emissionen durch angebotene Wartungstätigkeiten</t>
    </r>
    <r>
      <rPr>
        <sz val="11"/>
        <color theme="1"/>
        <rFont val="Calibri"/>
        <family val="2"/>
        <scheme val="minor"/>
      </rPr>
      <t>: Fallen solche während der Nutzungsdauer der anzubietenden Ware an, müssen die Bietenden die THG-Emissionen hinzu addieren, die z.B. durch den Austausch von Komponenten entstehen. Zum Beispiel ist beim Batterietausch eines E-Omnibusses nach x Jahren nicht nur der Antransport der Batterie, sondern auch der gesamte CO2-Emissionsbetrag der Produktion der neuen Batterie zu berücksichtigen. Zu jeder Wartungstätigkeit, die sich noch nicht im Tabellenblatt "Emissionsfaktoren_Lebenszyklus" und somit in der Dropdown-Auswahlliste im Blatt "THG-Emissionen" befindet, müssen die Bietenden eine Erklärung liefern, aus der alle Überlegungen und Zahlenwerte sowie die Berechnungen des Bietenden hervorgehen. Die Daten sind durch entsprechende Nachweisunterlagen zu belegen. Bei Fragen hierzu sollen sich die Bietenden rechtzeitig an die Ansprechperson gemäß Ausschreibungsunterlagen wenden, damit ihnen zeitgerecht geholfen werden kann.</t>
    </r>
  </si>
  <si>
    <r>
      <rPr>
        <b/>
        <sz val="11"/>
        <rFont val="Calibri"/>
        <family val="2"/>
        <scheme val="minor"/>
      </rPr>
      <t>Tabellenblatt "Transport+Installationskosten"</t>
    </r>
    <r>
      <rPr>
        <sz val="11"/>
        <rFont val="Calibri"/>
        <family val="2"/>
        <scheme val="minor"/>
      </rPr>
      <t xml:space="preserve">
In diesem Blatt sind nur Einträge durch die Bietenden vorgesehen. </t>
    </r>
  </si>
  <si>
    <r>
      <rPr>
        <b/>
        <sz val="11"/>
        <rFont val="Calibri"/>
        <family val="2"/>
        <scheme val="minor"/>
      </rPr>
      <t>Tabellenblatt "Investitionsrechnung"</t>
    </r>
    <r>
      <rPr>
        <sz val="11"/>
        <rFont val="Calibri"/>
        <family val="2"/>
        <scheme val="minor"/>
      </rPr>
      <t xml:space="preserve">
In diesem Blatt sind nur Einträge durch die Beschaffungsstelle vorgesehen. 
</t>
    </r>
  </si>
  <si>
    <r>
      <rPr>
        <b/>
        <sz val="11"/>
        <rFont val="Calibri"/>
        <family val="2"/>
        <scheme val="minor"/>
      </rPr>
      <t>Tabellenblatt "Einmalkosten"</t>
    </r>
    <r>
      <rPr>
        <sz val="11"/>
        <rFont val="Calibri"/>
        <family val="2"/>
        <scheme val="minor"/>
      </rPr>
      <t xml:space="preserve">
Hier tragen finden Sie die Detailanforderungen an die zu beschaffende Ware ("Lastenheft"). 
Als Bietende tragen Sie zunächst Ihre Firmenbezeichnung, den Hersteller und die Typenbezeichnung Ihrer angebotenen Ware, sowie die Nettoangebotspreise (ggf. unter Angabe der spezifischen Hersteller und Typenbezeichnungen) der jeweiligen Einzelpositionen ein. 
</t>
    </r>
  </si>
  <si>
    <t xml:space="preserve">In diesem Tabellenblatt trägt die Beschaffungsstelle die spezifische Angebots-ID, Vertragslaufzeit (kann von der geplanten Nutzungsdauer der zu beschaffenden Ware abweichen), sofern relevant eine Laufzeitoption (zusätzlicher Optionszeitraum in Jahren), und den anzusetzenden CO2-Preis ein. 
Hier kann das detaillierte Ergebnis der Lebenszykluskostenberechnungen für das Gesamtlos, d.h. die Gesamtanzahl/-menge an zu beschaffenden Waren abgelesen und durch die Beschaffungsstelle für die Bewertung der eingereichten Angebote genutzt werden. Das Tabellenblatt zeigt auch die Berechnung des Angebotspreises und der Lebenszykluskosten unter Berücksichtigung von Inflation und Abzinsung (lila Rahmen und Felder). 
Die einzelnen Kostenbestandteile der Lebenszykluskosten (Einmalkosten, Transport- und Installationskosten, laufende Kosten) befinden sich in den blauen Rahmen; die prognostizierten Treibhausgasemissionen sowie die daraus resultierenden CO2-Kosten (entweder als Kostenbestandteil integriert in den LCC-Kosten oder separat ausgewiesen und zu bewerten) gemäß dem für die Ausschreibung angesetzten CO2-Preis befinden sich unten rechts im grünen Rahmen. 
</t>
  </si>
  <si>
    <r>
      <rPr>
        <b/>
        <sz val="11"/>
        <rFont val="Calibri"/>
        <family val="2"/>
        <scheme val="minor"/>
      </rPr>
      <t>Tabellenblätter "Ergebnis LCC inkl. CO</t>
    </r>
    <r>
      <rPr>
        <b/>
        <vertAlign val="subscript"/>
        <sz val="11"/>
        <rFont val="Calibri"/>
        <family val="2"/>
        <scheme val="minor"/>
      </rPr>
      <t>2</t>
    </r>
    <r>
      <rPr>
        <b/>
        <sz val="11"/>
        <rFont val="Calibri"/>
        <family val="2"/>
        <scheme val="minor"/>
      </rPr>
      <t>-Kosten" | "Ergebnis LCC ohne CO</t>
    </r>
    <r>
      <rPr>
        <b/>
        <vertAlign val="subscript"/>
        <sz val="11"/>
        <rFont val="Calibri"/>
        <family val="2"/>
        <scheme val="minor"/>
      </rPr>
      <t>2</t>
    </r>
    <r>
      <rPr>
        <b/>
        <sz val="11"/>
        <rFont val="Calibri"/>
        <family val="2"/>
        <scheme val="minor"/>
      </rPr>
      <t>-Kosten"</t>
    </r>
    <r>
      <rPr>
        <sz val="11"/>
        <rFont val="Calibri"/>
        <family val="2"/>
        <scheme val="minor"/>
      </rPr>
      <t xml:space="preserve">
In diesem Blatt sind nur Einträge durch die Beschaffungsstelle vorgesehen. 
</t>
    </r>
  </si>
  <si>
    <r>
      <rPr>
        <b/>
        <sz val="11"/>
        <rFont val="Calibri"/>
        <family val="2"/>
        <scheme val="minor"/>
      </rPr>
      <t>Tabellenblätter "Emissionsfaktoren_Stoffe" | "Emissionsfaktoren_Prozesse" | "Emissionsfaktoren_Lebenszyklus"</t>
    </r>
    <r>
      <rPr>
        <sz val="11"/>
        <rFont val="Calibri"/>
        <family val="2"/>
        <scheme val="minor"/>
      </rPr>
      <t xml:space="preserve">
Verfügen Sie für Ihre anzubietenden Waren über spezifischere oder ergänzende Emissionsfaktoren als diejenigen, die in den Tabellenblättern voreingestellt sind, so fügen Sie diese jeweils in den hellblauen Zeilen unterhalb der Tabellenabschnitte ein. So erscheinen sie dann auf den anderen Tabellenblättern in den jeweiligen Dropdown-Auswahlfeldern. Bitte vergessen Sie nicht, Nachweise über die von Ihnen neu eingefügten und verwendeten Emissionsfaktoren beizufügen.
</t>
    </r>
  </si>
  <si>
    <r>
      <t xml:space="preserve">Diese beiden Tabellenblätter dienen dazu, die mit der zu beschaffenden Ware verursachten Treibhausgas-emissionen über den Lebenszyklus zu prognostizieren, um die damit verbundenen CO2-Kosten zu ermitteln. 
 </t>
    </r>
    <r>
      <rPr>
        <sz val="11"/>
        <color rgb="FFFF0000"/>
        <rFont val="Calibri"/>
        <family val="2"/>
        <scheme val="minor"/>
      </rPr>
      <t xml:space="preserve"> 
</t>
    </r>
    <r>
      <rPr>
        <u/>
        <sz val="11"/>
        <rFont val="Calibri"/>
        <family val="2"/>
        <scheme val="minor"/>
      </rPr>
      <t>Zertifikat vorhanden</t>
    </r>
    <r>
      <rPr>
        <sz val="11"/>
        <rFont val="Calibri"/>
        <family val="2"/>
        <scheme val="minor"/>
      </rPr>
      <t xml:space="preserve">: Als </t>
    </r>
    <r>
      <rPr>
        <b/>
        <sz val="11"/>
        <rFont val="Calibri"/>
        <family val="2"/>
        <scheme val="minor"/>
      </rPr>
      <t>Zertifikat</t>
    </r>
    <r>
      <rPr>
        <sz val="11"/>
        <rFont val="Calibri"/>
        <family val="2"/>
        <scheme val="minor"/>
      </rPr>
      <t xml:space="preserve"> dient eine (Produkt-)Ökobilanz nach ISO 14040/44 , bei der die potenziellen THG-Emissionen entlang des Lebenszyklus betrachtet werden, eine produktbezogene Klimabilanz nach DIN EN ISO 14067:2019-02, oder eine Klimabilanz nach gleichwertigen Standards. Wenn in den Ausschreibungsunterlagen vorgegeben, müssen die Bietenden priorisiert das Tabellenblatt "THG-Emissionen mit Zertifikat" ausfüllen. Das Tabellenblatt "THG-Emissionen ohne Zertifikat" ist dann nicht zu befüllen.</t>
    </r>
    <r>
      <rPr>
        <sz val="11"/>
        <color theme="1"/>
        <rFont val="Calibri"/>
        <family val="2"/>
        <scheme val="minor"/>
      </rPr>
      <t xml:space="preserve"> Es wird den Bietenden empfohlen, sich ein Zertifikat über die Treibhausgasemissionen für jedes ihrer verfügbaren Produkte erstellen zu lassen. Mittelfristig könnte dies in allen Ausschreibungen gefordert werden. Verwenden Sie als Bietender ein Zertifikat für die Befüllung der Eingabedaten zur Ermittlung der Treibhausgasemissionen, so ist dieses (oder sind diese) als Anlage(n) zum Angebot beizufügen. Alternative Zertifikate sollen bei Gleichwertigkeit akzeptiert werden, auch diese sind von den Bietenden als Nachweis beizufügen.</t>
    </r>
  </si>
  <si>
    <r>
      <rPr>
        <u/>
        <sz val="11"/>
        <color theme="1"/>
        <rFont val="Calibri"/>
        <family val="2"/>
        <scheme val="minor"/>
      </rPr>
      <t>Kein Zertifikat vorhanden</t>
    </r>
    <r>
      <rPr>
        <sz val="11"/>
        <color theme="1"/>
        <rFont val="Calibri"/>
        <family val="2"/>
        <scheme val="minor"/>
      </rPr>
      <t xml:space="preserve">: In diesem Fall muss der Bietende durch eine </t>
    </r>
    <r>
      <rPr>
        <b/>
        <sz val="11"/>
        <color theme="1"/>
        <rFont val="Calibri"/>
        <family val="2"/>
        <scheme val="minor"/>
      </rPr>
      <t>Eigenerklärung den CO2 Wert für die Produktionsphase</t>
    </r>
    <r>
      <rPr>
        <sz val="11"/>
        <color theme="1"/>
        <rFont val="Calibri"/>
        <family val="2"/>
        <scheme val="minor"/>
      </rPr>
      <t xml:space="preserve"> angeben. Die Produktion umfasst dabei sämtliche Prozesse im Rahmen der Herstellung des Produktes, d.h. die Rohstoffextraktion, sämtliche Transporte, Herstellprozesse und die Montage am Produktionsstandort (sofern vorhanden). Dieser Wert wird dann für die Berechnung der produktionsbedingten Treibhausgasemissionen herangezogen. 
</t>
    </r>
  </si>
  <si>
    <r>
      <t xml:space="preserve">für </t>
    </r>
    <r>
      <rPr>
        <i/>
        <u/>
        <sz val="11"/>
        <color theme="1"/>
        <rFont val="Calibri"/>
        <family val="2"/>
        <scheme val="minor"/>
      </rPr>
      <t>eine</t>
    </r>
    <r>
      <rPr>
        <i/>
        <sz val="11"/>
        <color theme="1"/>
        <rFont val="Calibri"/>
        <family val="2"/>
        <scheme val="minor"/>
      </rPr>
      <t xml:space="preserve"> funktionelle Einheit </t>
    </r>
  </si>
  <si>
    <t>Wartungsfrei</t>
  </si>
  <si>
    <r>
      <rPr>
        <b/>
        <sz val="11"/>
        <rFont val="Calibri"/>
        <family val="2"/>
        <scheme val="minor"/>
      </rPr>
      <t>Tabellenblatt "Laufende Kosten"</t>
    </r>
    <r>
      <rPr>
        <sz val="11"/>
        <rFont val="Calibri"/>
        <family val="2"/>
        <scheme val="minor"/>
      </rPr>
      <t xml:space="preserve">
Laufende Kosten können Kosten für Energie-, Treibstoff- oder Wärmebedarf während der Nutzungsdauer der zu beschaffenden Ware sein. Die Beschaffungsstelle gibt in diesem Blatt - sofern für die zu beschaffende Ware relevant - die anzusetzenden Preise für die zu nutzenden Energieträger ein. Auf Basis Ihrer Angaben zum Verbrauch im Tabellenblatt "THG-Emissionen mit/ohne Zertifikat" werden die resultierenden laufenden Verbrauchskosten hier automatisch berechnet. 
Im mittleren Teil des Tabellenblatts tragen Sie als Bietende - sofern für die anzubietende Ware relevant - die  Wartungstätigkeiten ein, die </t>
    </r>
    <r>
      <rPr>
        <u/>
        <sz val="11"/>
        <rFont val="Calibri"/>
        <family val="2"/>
        <scheme val="minor"/>
      </rPr>
      <t>durch den Bietenden übernommen</t>
    </r>
    <r>
      <rPr>
        <sz val="11"/>
        <rFont val="Calibri"/>
        <family val="2"/>
        <scheme val="minor"/>
      </rPr>
      <t xml:space="preserve"> werden, die Anzahl der erforderlichen Tätigkeiten über die angegebene Nutzungsdauer sowie die Kosten der einzelnen Wartungstätigkeit(en) für </t>
    </r>
    <r>
      <rPr>
        <u/>
        <sz val="11"/>
        <rFont val="Calibri"/>
        <family val="2"/>
        <scheme val="minor"/>
      </rPr>
      <t>eine</t>
    </r>
    <r>
      <rPr>
        <sz val="11"/>
        <rFont val="Calibri"/>
        <family val="2"/>
        <scheme val="minor"/>
      </rPr>
      <t xml:space="preserve"> funktionelle Einheit der anzubietenden Ware. Im Ergebnistabellenblatt werden die Transport- und Installationskosten auf die Gesamtmenge der angebotenen Waren (Anzahl funktioneller Einheiten) hochgerechnet. 
Im unteren Teil des Tabellenblatts tragen Sie als Bietende  - sofern für die zu anzubietende Ware relevant - solche Wartungstätigkeiten ein, die </t>
    </r>
    <r>
      <rPr>
        <u/>
        <sz val="11"/>
        <rFont val="Calibri"/>
        <family val="2"/>
        <scheme val="minor"/>
      </rPr>
      <t>von der Beschaffungsstelle selbst ausgeführt</t>
    </r>
    <r>
      <rPr>
        <sz val="11"/>
        <rFont val="Calibri"/>
        <family val="2"/>
        <scheme val="minor"/>
      </rPr>
      <t xml:space="preserve"> werden müssen, die Anzahl der erforderlichen Tätigkeiten über die angegebene Nutzungsdauer sowie die Kosten der einzelnen Wartungstätigkeit(en) für </t>
    </r>
    <r>
      <rPr>
        <u/>
        <sz val="11"/>
        <rFont val="Calibri"/>
        <family val="2"/>
        <scheme val="minor"/>
      </rPr>
      <t>eine</t>
    </r>
    <r>
      <rPr>
        <sz val="11"/>
        <rFont val="Calibri"/>
        <family val="2"/>
        <scheme val="minor"/>
      </rPr>
      <t xml:space="preserve"> funktionelle Einheit der anzubietenden Ware. Im Ergebnistabellenblatt werden die Transport- und Installationskosten auf die Gesamtmenge der angebotenen Waren (Anzahl funktioneller Einheiten) hochgerechnet. </t>
    </r>
  </si>
  <si>
    <t xml:space="preserve">Die THG-Emissionen der Produktherstellung werden durch die beiden oberen Abschnitte plausibilisiert: THG-Emissionen (Energie) + THG-Emissionen (Material). 
Tipp: Sie finden beide Summanden im Tabellenblatt "Produktion" in Spalte L. </t>
  </si>
  <si>
    <r>
      <rPr>
        <b/>
        <sz val="11"/>
        <rFont val="Calibri"/>
        <family val="2"/>
        <scheme val="minor"/>
      </rPr>
      <t xml:space="preserve">THG-Emissionen </t>
    </r>
    <r>
      <rPr>
        <b/>
        <u/>
        <sz val="11"/>
        <rFont val="Calibri"/>
        <family val="2"/>
        <scheme val="minor"/>
      </rPr>
      <t>mit Zertifikat</t>
    </r>
    <r>
      <rPr>
        <sz val="11"/>
        <rFont val="Calibri"/>
        <family val="2"/>
        <scheme val="minor"/>
      </rPr>
      <t xml:space="preserve">: 
Hier machen Sie als Bietende folgende Einträge (weitere, detailliertere  Erläuterungen im Tabellenblatt): 
</t>
    </r>
    <r>
      <rPr>
        <b/>
        <sz val="11"/>
        <rFont val="Calibri"/>
        <family val="2"/>
        <scheme val="minor"/>
      </rPr>
      <t>Phase 1: Produktion</t>
    </r>
    <r>
      <rPr>
        <sz val="11"/>
        <rFont val="Calibri"/>
        <family val="2"/>
        <scheme val="minor"/>
      </rPr>
      <t xml:space="preserve">
-  Energieverbrauch und Treibhausgasemissionen aus der Produktion Ihrer anzubietenden Ware gemäß Zertifikatsnachweis (siehe Erläuterungen unten zu anerkannten Nachweismöglichkeiten)
</t>
    </r>
    <r>
      <rPr>
        <b/>
        <sz val="11"/>
        <rFont val="Calibri"/>
        <family val="2"/>
        <scheme val="minor"/>
      </rPr>
      <t>Phase 2: Transport und Installation</t>
    </r>
    <r>
      <rPr>
        <sz val="11"/>
        <rFont val="Calibri"/>
        <family val="2"/>
        <scheme val="minor"/>
      </rPr>
      <t xml:space="preserve">
- Entfernung der zu transportierenden Ware zwischen Start- und Zielort
- zu transportierendes Gesamtgewicht der anzubietenden Ware
- Transportmittel zum Zielort, Teilstrecken, Teilgewicht
- Installations- bzw. Errichtungstätigkeiten, Einsatzart, Häufigkeit
</t>
    </r>
    <r>
      <rPr>
        <b/>
        <sz val="11"/>
        <rFont val="Calibri"/>
        <family val="2"/>
        <scheme val="minor"/>
      </rPr>
      <t>Phase 3: Nutzung und Wartung</t>
    </r>
    <r>
      <rPr>
        <sz val="11"/>
        <rFont val="Calibri"/>
        <family val="2"/>
        <scheme val="minor"/>
      </rPr>
      <t xml:space="preserve">
- Energietyp und Verbrauch pro Jahr 
- Wartungstätigkeit und Häufigkeit während der Nutzungsdauer
</t>
    </r>
  </si>
  <si>
    <r>
      <rPr>
        <b/>
        <sz val="11"/>
        <rFont val="Calibri"/>
        <family val="2"/>
        <scheme val="minor"/>
      </rPr>
      <t xml:space="preserve">THG-Emissionen </t>
    </r>
    <r>
      <rPr>
        <b/>
        <u/>
        <sz val="11"/>
        <rFont val="Calibri"/>
        <family val="2"/>
        <scheme val="minor"/>
      </rPr>
      <t>ohne</t>
    </r>
    <r>
      <rPr>
        <b/>
        <sz val="11"/>
        <rFont val="Calibri"/>
        <family val="2"/>
        <scheme val="minor"/>
      </rPr>
      <t xml:space="preserve"> Zertifikat</t>
    </r>
    <r>
      <rPr>
        <sz val="11"/>
        <rFont val="Calibri"/>
        <family val="2"/>
        <scheme val="minor"/>
      </rPr>
      <t xml:space="preserve">: 
Hier machen Sie als Bietende folgende Einträge (weitere, detailliertere  Erläuterungen im Tabellenblatt): 
</t>
    </r>
    <r>
      <rPr>
        <b/>
        <sz val="11"/>
        <rFont val="Calibri"/>
        <family val="2"/>
        <scheme val="minor"/>
      </rPr>
      <t>Phase 1: Produktion</t>
    </r>
    <r>
      <rPr>
        <sz val="11"/>
        <rFont val="Calibri"/>
        <family val="2"/>
        <scheme val="minor"/>
      </rPr>
      <t xml:space="preserve">
-  Energieverbrauch der Produktion Ihrer anzubietenden Ware und THG-Emissionswert der Energieversorgung (Strommix der finalen Fertigungsstätte)
- Die mengenmäßig relevantesten zehn Materialien (oder Stoffe/Produktionsprozesse - Auswahl über das vorhandene Dropdown-Menü) Ihrer anzubietenden Ware auf EINE funktionelle Einheit bezogen inklusive Erläuterung und Wert. 
- Ihre Eigenerklärung zu den THG-Emissionen aus der Produktion der anzubietenden Ware, um Ihr Angebot ohne Zertifikat mit anderen Angeboten mit Zertifikat vergleichen zu dürfen. Sie können die THG-Emissionen der Produktion mit Hilfe der beiden oberen Abschnitte plausibilisieren: 
THG-Emissionen (Energie) + THG-Emissionen (Material). Tipp: Sie finden beide Summanden im Tabellenblatt "Produktion" in Spalte L. Der Wert der gesamten CO2-Belastung der Produktion liegt meist ca. 10-20 % über dieser Summe der Einzelwerte. 
</t>
    </r>
    <r>
      <rPr>
        <b/>
        <sz val="11"/>
        <rFont val="Calibri"/>
        <family val="2"/>
        <scheme val="minor"/>
      </rPr>
      <t>Phase 2: Transport und Installation</t>
    </r>
    <r>
      <rPr>
        <sz val="11"/>
        <rFont val="Calibri"/>
        <family val="2"/>
        <scheme val="minor"/>
      </rPr>
      <t xml:space="preserve">
- Entfernung der zu transportierenden Ware zwischen Start- und Zielort
- zu transportierendes Gesamtgewicht der anzubietenden Ware
- Transportmittel zum Zielort, Teilstrecken, Teilgewicht
- Installations- bzw. Errichtungstätigkeiten, Einsatzart, Häufigkeit
</t>
    </r>
    <r>
      <rPr>
        <b/>
        <sz val="11"/>
        <rFont val="Calibri"/>
        <family val="2"/>
        <scheme val="minor"/>
      </rPr>
      <t>Phase 3: Nutzung und Wartung</t>
    </r>
    <r>
      <rPr>
        <sz val="11"/>
        <rFont val="Calibri"/>
        <family val="2"/>
        <scheme val="minor"/>
      </rPr>
      <t xml:space="preserve">
- Energietyp und Verbrauch pro Jahr 
- Wartungstätigkeit und Häufigkeit während der Nutzungsdauer</t>
    </r>
  </si>
  <si>
    <t xml:space="preserve">Diese beiden Tabellenblätter dienen zur Information der Bietenden über das Punktevergabeschema der vorliegenden Ausschreibung (Ausschlusskriterien; Gewichtung Preis vs. Qualität; Gesamtpunktzahl und erreichbare Punktzahl für technische und ökologische Zuschlagskriterien). 
Nach Einreichen der von den Bietenden ausgefüllten Tools mit den Angebotsunterlagen nimmt die Beschaffungsstelle hier die Bewertung der Angebote vor (Erfüllungsgrad der einzelnen Zuschlagskriterien, erreichte Preis- und Qualitätspunkte). Im Tabellenblatt "Punktevergabe Übersicht" werden zudem die errechneten Werte für den Angebotspreis und die Lebenszykluskosten (inklusive bzw. mit separater Ausweisung der CO2-Kosten) der jeweiligen Angebote aufgezeigt, die die Beschaffungsstelle in die Bewertung der Wirtschaftlichkeit der Angebote einbezieht. Eine detaillierte Aufschlüsselung der Lebenszykluskosten, ggf. auch mit Investitionsrechnung zukünftig entstehender Kostenbestandteile, finden Sie im Ergebnis-Tabellenblatt, siehe unten.  
</t>
  </si>
  <si>
    <r>
      <rPr>
        <b/>
        <sz val="11"/>
        <rFont val="Calibri"/>
        <family val="2"/>
        <scheme val="minor"/>
      </rPr>
      <t>Tabellenblätter "THG-Emissionen mit Zertifikat" | "THG-Emissionen ohne Zertifikat"</t>
    </r>
    <r>
      <rPr>
        <sz val="11"/>
        <rFont val="Calibri"/>
        <family val="2"/>
        <scheme val="minor"/>
      </rPr>
      <t xml:space="preserve">
In diesen Tabellenblättern finden Sie von der Beschaffungsstelle vorgegeben jeweils den Leistungsgegenstand gemäß Ausschreibung ("funktionelle Einheit") und die Gesamtanzahl der zu beschaffenden funktionellen Einheiten, den Zielort der Anlieferung, die geplante Nutzungsdauer in Jahren sowie - sofern für die zu beschaffende Ware relevant - die Nutzungsdauer pro Jahr (z.B. x Tage oder x Stunden). 
Sie als Bietende prüfen, ob für den Energieverbrauch und die Treibhausgasemissionen aus der Produktion Ihrer anzubietenden Ware ein Zertifikat vorhanden ist oder nicht und wählen das entsprechende Tabellenblatt für die weiteren Dateneingaben. 
</t>
    </r>
  </si>
  <si>
    <t>Bei Laufzeitoption: Gesamtangebotspreis nur für zusätzlichen Optionszeitraum</t>
  </si>
  <si>
    <r>
      <rPr>
        <b/>
        <sz val="11"/>
        <rFont val="Calibri"/>
        <family val="2"/>
        <scheme val="minor"/>
      </rPr>
      <t>Tabellenblätter "Ergebnis LCC inkl. CO</t>
    </r>
    <r>
      <rPr>
        <b/>
        <vertAlign val="subscript"/>
        <sz val="11"/>
        <rFont val="Calibri"/>
        <family val="2"/>
        <scheme val="minor"/>
      </rPr>
      <t>2</t>
    </r>
    <r>
      <rPr>
        <b/>
        <sz val="11"/>
        <rFont val="Calibri"/>
        <family val="2"/>
        <scheme val="minor"/>
      </rPr>
      <t>-Kosten" | "Ergebnis LCC ohne CO</t>
    </r>
    <r>
      <rPr>
        <b/>
        <vertAlign val="subscript"/>
        <sz val="11"/>
        <rFont val="Calibri"/>
        <family val="2"/>
        <scheme val="minor"/>
      </rPr>
      <t>2</t>
    </r>
    <r>
      <rPr>
        <b/>
        <sz val="11"/>
        <rFont val="Calibri"/>
        <family val="2"/>
        <scheme val="minor"/>
      </rPr>
      <t>-Kosten"</t>
    </r>
    <r>
      <rPr>
        <sz val="11"/>
        <rFont val="Calibri"/>
        <family val="2"/>
        <scheme val="minor"/>
      </rPr>
      <t xml:space="preserve">
Legen Sie für Ihre Ausschreibung fest, in welcher Form Sie die CO</t>
    </r>
    <r>
      <rPr>
        <vertAlign val="subscript"/>
        <sz val="11"/>
        <rFont val="Calibri"/>
        <family val="2"/>
        <scheme val="minor"/>
      </rPr>
      <t>2</t>
    </r>
    <r>
      <rPr>
        <sz val="11"/>
        <rFont val="Calibri"/>
        <family val="2"/>
        <scheme val="minor"/>
      </rPr>
      <t xml:space="preserve">-Kosten der prognostizierten Treibhausgasemissionen bei der Angebotsbewertung berücksichtigen werden. 
</t>
    </r>
    <r>
      <rPr>
        <u/>
        <sz val="11"/>
        <rFont val="Calibri"/>
        <family val="2"/>
        <scheme val="minor"/>
      </rPr>
      <t>Im Regelfall</t>
    </r>
    <r>
      <rPr>
        <sz val="11"/>
        <rFont val="Calibri"/>
        <family val="2"/>
        <scheme val="minor"/>
      </rPr>
      <t xml:space="preserve"> sollten die CO</t>
    </r>
    <r>
      <rPr>
        <vertAlign val="subscript"/>
        <sz val="11"/>
        <rFont val="Calibri"/>
        <family val="2"/>
        <scheme val="minor"/>
      </rPr>
      <t>2</t>
    </r>
    <r>
      <rPr>
        <sz val="11"/>
        <rFont val="Calibri"/>
        <family val="2"/>
        <scheme val="minor"/>
      </rPr>
      <t>-Kosten Teil der gesamten Lebenszykluskosten sein. In diesem Fall nutzen Sie das Tabellenblatt "Ergebnis LCC inkl. CO</t>
    </r>
    <r>
      <rPr>
        <vertAlign val="subscript"/>
        <sz val="11"/>
        <rFont val="Calibri"/>
        <family val="2"/>
        <scheme val="minor"/>
      </rPr>
      <t>2</t>
    </r>
    <r>
      <rPr>
        <sz val="11"/>
        <rFont val="Calibri"/>
        <family val="2"/>
        <scheme val="minor"/>
      </rPr>
      <t xml:space="preserve">-Kosten", </t>
    </r>
    <r>
      <rPr>
        <b/>
        <sz val="11"/>
        <rFont val="Calibri"/>
        <family val="2"/>
        <scheme val="minor"/>
      </rPr>
      <t>löschen das Tabellenblatt "Ergebnis LCC ohne CO</t>
    </r>
    <r>
      <rPr>
        <b/>
        <vertAlign val="subscript"/>
        <sz val="11"/>
        <rFont val="Calibri"/>
        <family val="2"/>
        <scheme val="minor"/>
      </rPr>
      <t>2</t>
    </r>
    <r>
      <rPr>
        <b/>
        <sz val="11"/>
        <rFont val="Calibri"/>
        <family val="2"/>
        <scheme val="minor"/>
      </rPr>
      <t>-Kosten"</t>
    </r>
    <r>
      <rPr>
        <sz val="11"/>
        <rFont val="Calibri"/>
        <family val="2"/>
        <scheme val="minor"/>
      </rPr>
      <t xml:space="preserve"> und leeren auf dem Tabellenblatt "Punktevergabe Übersicht" die Zellen G31-G41, bevor Sie die Datei extern mit den Ausschreibungsunterlagen zur Verfügung stellen. 
</t>
    </r>
    <r>
      <rPr>
        <u/>
        <sz val="11"/>
        <rFont val="Calibri"/>
        <family val="2"/>
        <scheme val="minor"/>
      </rPr>
      <t>Alternativ</t>
    </r>
    <r>
      <rPr>
        <sz val="11"/>
        <rFont val="Calibri"/>
        <family val="2"/>
        <scheme val="minor"/>
      </rPr>
      <t xml:space="preserve"> können Sie die Lebenszykluskosten ohne CO</t>
    </r>
    <r>
      <rPr>
        <vertAlign val="subscript"/>
        <sz val="11"/>
        <rFont val="Calibri"/>
        <family val="2"/>
        <scheme val="minor"/>
      </rPr>
      <t>2</t>
    </r>
    <r>
      <rPr>
        <sz val="11"/>
        <rFont val="Calibri"/>
        <family val="2"/>
        <scheme val="minor"/>
      </rPr>
      <t>-Kosten berechnen und stattdessen die CO</t>
    </r>
    <r>
      <rPr>
        <vertAlign val="subscript"/>
        <sz val="11"/>
        <rFont val="Calibri"/>
        <family val="2"/>
        <scheme val="minor"/>
      </rPr>
      <t>2</t>
    </r>
    <r>
      <rPr>
        <sz val="11"/>
        <rFont val="Calibri"/>
        <family val="2"/>
        <scheme val="minor"/>
      </rPr>
      <t xml:space="preserve">-Kosten als </t>
    </r>
    <r>
      <rPr>
        <i/>
        <sz val="11"/>
        <rFont val="Calibri"/>
        <family val="2"/>
        <scheme val="minor"/>
      </rPr>
      <t>Ökologisches Zuschlagskriterium</t>
    </r>
    <r>
      <rPr>
        <sz val="11"/>
        <rFont val="Calibri"/>
        <family val="2"/>
        <scheme val="minor"/>
      </rPr>
      <t xml:space="preserve"> in die Bewertung einbeziehen. In diesem Fall legen Sie im Tabellenblatt "Punktevergabe Detail" ein entsprechendes Kriterium mit Punktzahl und Gewichtung fest. Sie nutzen dann das Tabellenblatt "Ergebnis LCC ohne CO</t>
    </r>
    <r>
      <rPr>
        <vertAlign val="subscript"/>
        <sz val="11"/>
        <rFont val="Calibri"/>
        <family val="2"/>
        <scheme val="minor"/>
      </rPr>
      <t>2</t>
    </r>
    <r>
      <rPr>
        <sz val="11"/>
        <rFont val="Calibri"/>
        <family val="2"/>
        <scheme val="minor"/>
      </rPr>
      <t xml:space="preserve">-Kosten", </t>
    </r>
    <r>
      <rPr>
        <b/>
        <sz val="11"/>
        <rFont val="Calibri"/>
        <family val="2"/>
        <scheme val="minor"/>
      </rPr>
      <t>löschen das Tabellenblatt "Ergebnis LCC inkl. CO</t>
    </r>
    <r>
      <rPr>
        <b/>
        <vertAlign val="subscript"/>
        <sz val="11"/>
        <rFont val="Calibri"/>
        <family val="2"/>
        <scheme val="minor"/>
      </rPr>
      <t>2</t>
    </r>
    <r>
      <rPr>
        <b/>
        <sz val="11"/>
        <rFont val="Calibri"/>
        <family val="2"/>
        <scheme val="minor"/>
      </rPr>
      <t>-Kosten"</t>
    </r>
    <r>
      <rPr>
        <sz val="11"/>
        <rFont val="Calibri"/>
        <family val="2"/>
        <scheme val="minor"/>
      </rPr>
      <t xml:space="preserve"> und leeren auf dem Tabellenblatt "Punktevergabe Übersicht" die Zellen F31-F41, bevor Sie die Datei extern mit den Ausschreibungsunterlagen zur Verfügung stellen.
Im verbleibenden Ergebnis-Tabellenblatt geben Sie die spezifische Angebots-ID, Vertragslaufzeit (kann von der geplanten </t>
    </r>
    <r>
      <rPr>
        <i/>
        <sz val="11"/>
        <rFont val="Calibri"/>
        <family val="2"/>
        <scheme val="minor"/>
      </rPr>
      <t>Nutzungsdauer</t>
    </r>
    <r>
      <rPr>
        <sz val="11"/>
        <rFont val="Calibri"/>
        <family val="2"/>
        <scheme val="minor"/>
      </rPr>
      <t xml:space="preserve"> der zu beschaffenden Ware abweichen), sofern relevant eine Laufzeitoption (zusätzlicher Optionszeitraum in Jahren), und den anzusetzenden CO</t>
    </r>
    <r>
      <rPr>
        <vertAlign val="subscript"/>
        <sz val="11"/>
        <rFont val="Calibri"/>
        <family val="2"/>
        <scheme val="minor"/>
      </rPr>
      <t>2</t>
    </r>
    <r>
      <rPr>
        <sz val="11"/>
        <rFont val="Calibri"/>
        <family val="2"/>
        <scheme val="minor"/>
      </rPr>
      <t xml:space="preserve">-Preis ein. 
</t>
    </r>
    <r>
      <rPr>
        <u/>
        <sz val="11"/>
        <rFont val="Calibri"/>
        <family val="2"/>
        <scheme val="minor"/>
      </rPr>
      <t>CO</t>
    </r>
    <r>
      <rPr>
        <u/>
        <vertAlign val="subscript"/>
        <sz val="11"/>
        <rFont val="Calibri"/>
        <family val="2"/>
        <scheme val="minor"/>
      </rPr>
      <t>2</t>
    </r>
    <r>
      <rPr>
        <u/>
        <sz val="11"/>
        <rFont val="Calibri"/>
        <family val="2"/>
        <scheme val="minor"/>
      </rPr>
      <t>-Preis</t>
    </r>
    <r>
      <rPr>
        <sz val="11"/>
        <rFont val="Calibri"/>
        <family val="2"/>
        <scheme val="minor"/>
      </rPr>
      <t>: Liegt keine hausinterne Vorgabe vor, können Sie für den Nutzungszeitraum der zu beschaffenden Ware bis einschließlich des Jahres 2026 die CO</t>
    </r>
    <r>
      <rPr>
        <vertAlign val="subscript"/>
        <sz val="11"/>
        <rFont val="Calibri"/>
        <family val="2"/>
        <scheme val="minor"/>
      </rPr>
      <t>2</t>
    </r>
    <r>
      <rPr>
        <sz val="11"/>
        <rFont val="Calibri"/>
        <family val="2"/>
        <scheme val="minor"/>
      </rPr>
      <t>-Preise des Bundesemissionshandels-gesetzes BEHG als Mindestpreis zugrunde legen. § 10 Abs. 2 BEHG legt für die Einführungsphase bis 2026 derzeit einen (jährlich) steigenden Festpreis bis 55 Euro und für das Jahr 2026 einen Preiskorridor von mindestens 55 und höchstens 65 Euro fest. Der festgelegte Mindestpreis liegt jedoch weit unter den real in der Zukunft zu erwartenden Größenordnungen für die volkswirt-schaftlichen Kosten unterbliebenen Klimaschutzes. Diese werden vom Umweltbundesamt in der sogenannten "Methodenkonvention zur Ermittlung von Umweltkosten" deutlich höher angesetzt.</t>
    </r>
  </si>
  <si>
    <r>
      <rPr>
        <b/>
        <sz val="11"/>
        <rFont val="Calibri"/>
        <family val="2"/>
        <scheme val="minor"/>
      </rPr>
      <t>Tabellenblätter "Punktevergabe Übersicht" | "Punktevergabe Details"</t>
    </r>
    <r>
      <rPr>
        <sz val="11"/>
        <rFont val="Calibri"/>
        <family val="2"/>
        <scheme val="minor"/>
      </rPr>
      <t xml:space="preserve">
Tragen Sie auf der linken Seite das Punktevergabeschema für Ihre Ausschreibung ein (auf der rechten Seite nehmen Sie die Bewertung </t>
    </r>
    <r>
      <rPr>
        <u/>
        <sz val="11"/>
        <rFont val="Calibri"/>
        <family val="2"/>
        <scheme val="minor"/>
      </rPr>
      <t>nach</t>
    </r>
    <r>
      <rPr>
        <sz val="11"/>
        <rFont val="Calibri"/>
        <family val="2"/>
        <scheme val="minor"/>
      </rPr>
      <t xml:space="preserve"> Erhalt des eingereichten Angebots vor). 
Erforderliche Eingaben: Vorhandene Ausschlusskriterien; Gewichtung Preis vs. Qualität; Gewichtung innerhalb der Qualitätskriterien: Technische vs. ökologische Zuschlagskriterien; erreichbare Gesamtpunktzahl (z.B. 100 Punkte); Einzelanforderungen innerhalb der technischen bzw. ökologischen Zuschlagskriterien mit der jeweils erreichbaren Punktzahl. Bei Laufzeitoption: Tragen Sie den im eingereichten Angebot genannten Gesamtangebotspreis, der nur für den zusätzlichen Optionszeitraum gilt, separat ein. 
</t>
    </r>
    <r>
      <rPr>
        <u/>
        <sz val="11"/>
        <rFont val="Calibri"/>
        <family val="2"/>
        <scheme val="minor"/>
      </rPr>
      <t>Angebotsbewertung</t>
    </r>
    <r>
      <rPr>
        <sz val="11"/>
        <rFont val="Calibri"/>
        <family val="2"/>
        <scheme val="minor"/>
      </rPr>
      <t xml:space="preserve">: Entscheiden Sie, ob Sie die Bewertung der Angebote auf Basis integrierter oder separater CO2-Kosten vornehmen wollen;  löschen Sie vor Versand des Tools mit den Ausschreibungsunterlagen entweder Tabellenblatt "Ergebnis LCC inkl. CO2-Kosten" und leeren im Tabellenblatt "Punktevergabe Übersicht" die Zellen F31-F41; oder löschen Sie das Tabellenblatt "Ergebnis LCC ohne CO2-Kosten" und leeren im Tabellenblatt "Punktevergabe Übersicht" die Zellen G31-G41; sowie die dortige Anleitung für Beschaffende. 
</t>
    </r>
  </si>
  <si>
    <t>zurück zur Übersicht</t>
  </si>
  <si>
    <t xml:space="preserve">zurück zur Anleitung für Beschaffende </t>
  </si>
  <si>
    <t>zurück zur Anleitung für Bietende</t>
  </si>
  <si>
    <t>zum Tabellenblatt Punktevergabe Übersicht</t>
  </si>
  <si>
    <t>zum Tabellenblatt Punktevergabe Details</t>
  </si>
  <si>
    <t>Zum Tabellenblatt Einmalkosten</t>
  </si>
  <si>
    <t>Zum Tabellenblatt Laufende Kosten</t>
  </si>
  <si>
    <t>Zum Tabellenblatt Investitionsrechnung</t>
  </si>
  <si>
    <t>Zum Tabellenblatt Emissionsfaktoren Prozesse</t>
  </si>
  <si>
    <t>Zum Tabellenblatt Emissionsfaktoren Lebenszyklus</t>
  </si>
  <si>
    <t>Zum Tabellenblatt Transport + Installationskosten</t>
  </si>
  <si>
    <t>Zum Tabellenblatt 
THG-Emissionen 
mit Zertifikat</t>
  </si>
  <si>
    <t>Zum Tabellenblatt 
THG-Emissionen 
ohne Zertifikat</t>
  </si>
  <si>
    <t>Zum Tabellenblatt Ergebnis LCC 
inkl. CO2-Kosten</t>
  </si>
  <si>
    <t>Zum Tabellenblatt Ergebnis LCC 
ohne CO2-Kosten</t>
  </si>
  <si>
    <t>Zum Tabellenblatt Emissionsfaktoren 
Stoffe</t>
  </si>
  <si>
    <t>Zum Tabellenblatt Produktion</t>
  </si>
  <si>
    <t>Zum Tabellenblatt Transport+Installation</t>
  </si>
  <si>
    <t>Zum Tabellenblatt Nutzung</t>
  </si>
  <si>
    <r>
      <t xml:space="preserve">UBA-LCC-CO2-Tool; </t>
    </r>
    <r>
      <rPr>
        <b/>
        <sz val="11"/>
        <color theme="1"/>
        <rFont val="Calibri"/>
        <family val="2"/>
        <scheme val="minor"/>
      </rPr>
      <t>Version 5.0, Stand 19.02.2025</t>
    </r>
    <r>
      <rPr>
        <sz val="11"/>
        <color theme="1"/>
        <rFont val="Calibri"/>
        <family val="2"/>
        <scheme val="minor"/>
      </rPr>
      <t xml:space="preserve">
Hinweis: 
Das Tool ist in MS 365 getestet; bei anderen Versionen kann es evtl. zu Darstellungsproblemen kommen.</t>
    </r>
  </si>
  <si>
    <t>Lastenheft Info 2:</t>
  </si>
  <si>
    <t>Lastenheft Info 1:</t>
  </si>
  <si>
    <t>Betrachtungszeitraum in Jahren (= Lebenszyklus)</t>
  </si>
  <si>
    <t>Betrachtungszeitraum</t>
  </si>
  <si>
    <t xml:space="preserve">Diese drei Tabellenblätter dienen zur Erfassung der mit dem Angebot verbundenen Lebenszykluskosten-Bestandteile. Neben dem/den Anschaffungspreis(en) tragen die Bietenden, sofern relevant, auch Kosten ein, die durch die Anlieferung der Ware und/oder die Installation bzw. Errichtung vor Ort entstehen. 
Laufende Kosten können Kosten für Energie-, Treibstoff- oder Wärmebedarf während der Nutzungsdauer der zu beschaffenden Ware sein. Schließlich können die Bietenden Kosten für Wartungstätigkeiten während der Nutzungsdauer ansetzen. Hierbei wird unterschieden zwischen Wartungstätigkeiten, die gemäß Forderung in den Ausschreibungsunterlagen durch den Bietenden auszuführen sind, und/oder ggf. auch erforderliche Wartungstätigkeiten, die durch die Beschaffungsstelle selbst durchzuführen sind und deren Kosten in den Lebenszykluskosten berücksichtigt werden sollen. Alle Kosten bzw. Preise sind netto anzugeben. 
Stundenkostensätze, die nicht in den Ausschreibungsunterlagen vorgegeben sind, sind freizulassen. Hierzu wird erst in den folgenden Verhandlungsrunden zwischen Bietendem und Beschaffungsstelle die Klärung herbeigeführt. Wenn der Bietende nichts einträgt, obwohl die Angaben in den Ausschreibungsunterlagen vorhanden sind, tragen Sie als Beschaffungsstelle diese Werte zur Auswertung ein.
</t>
  </si>
  <si>
    <r>
      <rPr>
        <b/>
        <sz val="11"/>
        <rFont val="Calibri"/>
        <family val="2"/>
        <scheme val="minor"/>
      </rPr>
      <t>Tabellenblatt "Transport+Installationskosten"</t>
    </r>
    <r>
      <rPr>
        <sz val="11"/>
        <rFont val="Calibri"/>
        <family val="2"/>
        <scheme val="minor"/>
      </rPr>
      <t xml:space="preserve">
In diesem Blatt spezifizieren Sie Transportkostenanteile und Installationskostenanteile und tragen die jeweils damit verbundenen Einzelpreise bezogen auf </t>
    </r>
    <r>
      <rPr>
        <u/>
        <sz val="11"/>
        <rFont val="Calibri"/>
        <family val="2"/>
        <scheme val="minor"/>
      </rPr>
      <t>eine</t>
    </r>
    <r>
      <rPr>
        <sz val="11"/>
        <rFont val="Calibri"/>
        <family val="2"/>
        <scheme val="minor"/>
      </rPr>
      <t xml:space="preserve"> funktionelle Einheit der anzubietenden Ware ein. Alle Kosten bzw. Preise sind netto anzugeben. 
Im Ergebnistabellenblatt werden die Transport- und Installationskosten auf die Gesamtmenge der angebotenen Waren (Anzahl funktioneller Einheiten) hochgerechnet.  </t>
    </r>
  </si>
  <si>
    <t>Energiekosten über Betrachtungszeitraum</t>
  </si>
  <si>
    <r>
      <t xml:space="preserve">Gesamtsumme laufende Kosten über Betrachtungszeitraum bezogen auf </t>
    </r>
    <r>
      <rPr>
        <b/>
        <u/>
        <sz val="11"/>
        <color theme="1"/>
        <rFont val="Calibri"/>
        <family val="2"/>
        <scheme val="minor"/>
      </rPr>
      <t>eine</t>
    </r>
    <r>
      <rPr>
        <b/>
        <sz val="11"/>
        <color theme="1"/>
        <rFont val="Calibri"/>
        <family val="2"/>
        <scheme val="minor"/>
      </rPr>
      <t xml:space="preserve"> funktionelle Einheit</t>
    </r>
  </si>
  <si>
    <t>Wartungskosten durch Bietenden über Betrachtungszeitraum</t>
  </si>
  <si>
    <t>Wartungsumfang 
(Anzahl über Betrachtungszeitraum)</t>
  </si>
  <si>
    <t>Wartungskosten 
über Betrachtungszeitraum)</t>
  </si>
  <si>
    <t>Wartungskosten durch Beschaffungsstelle über Betrachtungszeitraum</t>
  </si>
  <si>
    <t>Betrachtungszeitraum (Lebenszyklus) der zu beschaffenden Ware (t)</t>
  </si>
  <si>
    <r>
      <t xml:space="preserve">Summe Barwert (BW) aller laufenden Kosten für </t>
    </r>
    <r>
      <rPr>
        <b/>
        <u/>
        <sz val="11"/>
        <rFont val="Calibri"/>
        <family val="2"/>
        <scheme val="minor"/>
      </rPr>
      <t>eine</t>
    </r>
    <r>
      <rPr>
        <b/>
        <sz val="11"/>
        <rFont val="Calibri"/>
        <family val="2"/>
        <scheme val="minor"/>
      </rPr>
      <t xml:space="preserve"> funktionelle Einheit über den Betrachtungszeitraum =BW (d-p; t; laufende Kosten)</t>
    </r>
  </si>
  <si>
    <r>
      <t xml:space="preserve">Lebenszykluskosten </t>
    </r>
    <r>
      <rPr>
        <b/>
        <i/>
        <sz val="11"/>
        <rFont val="Calibri"/>
        <family val="2"/>
        <scheme val="minor"/>
      </rPr>
      <t xml:space="preserve">für </t>
    </r>
    <r>
      <rPr>
        <b/>
        <i/>
        <u/>
        <sz val="11"/>
        <rFont val="Calibri"/>
        <family val="2"/>
        <scheme val="minor"/>
      </rPr>
      <t>eine</t>
    </r>
    <r>
      <rPr>
        <b/>
        <i/>
        <sz val="11"/>
        <rFont val="Calibri"/>
        <family val="2"/>
        <scheme val="minor"/>
      </rPr>
      <t xml:space="preserve"> funktionelle Einheit</t>
    </r>
    <r>
      <rPr>
        <b/>
        <sz val="11"/>
        <rFont val="Calibri"/>
        <family val="2"/>
        <scheme val="minor"/>
      </rPr>
      <t xml:space="preserve"> über den Betrachtungszeitraum</t>
    </r>
  </si>
  <si>
    <t>Betrachtungszeitraum (in x Jahren)</t>
  </si>
  <si>
    <t>Häufigkeit während Betrachtungs-zeitraum</t>
  </si>
  <si>
    <t>Ist die erforderliche Tätigkeit im Dropdown vorhanden, einfach übernehmen und Häufigkeit während Betrachtungszeitraum ergänzen</t>
  </si>
  <si>
    <t>Betrachtungszeitraum in x Jahren</t>
  </si>
  <si>
    <t xml:space="preserve">Anteile laufende Kosten (Gesamtlos) über Betrachtungszeitraum </t>
  </si>
  <si>
    <t>Summe laufende Kosten (Gesamtlos) 
über Betrachtungszeitraum</t>
  </si>
  <si>
    <t>Umfasst Emissionen aus Betrieb und Instandhaltung innerhalb des Betrachtungszeitraums (= Lebenszyklus)</t>
  </si>
  <si>
    <t>Energiebedarf im Betrachtungszeitraum (Lebenszyklus)</t>
  </si>
  <si>
    <t>Anschaffung Desktop-PC</t>
  </si>
  <si>
    <t>Anschaffung Monitor 22''</t>
  </si>
  <si>
    <t>Anschaffung Tastatur</t>
  </si>
  <si>
    <t xml:space="preserve">Anschaffung Maus </t>
  </si>
  <si>
    <t>Verwaltungsaufwand der zusätzlichen Beschaffungsvorgänge (Tagesbruttopersonalkosten, Tagessach- und Gemeinkosten)</t>
  </si>
  <si>
    <t xml:space="preserve">Reale Auf- oder Abzinsungsrate (r) </t>
  </si>
  <si>
    <t>Angenommene Nutzungsdauer 6 Jahre</t>
  </si>
  <si>
    <t>Angenommene Nutzungsdauer 3 Jahre</t>
  </si>
  <si>
    <t>Arbeitsplatzcomputer, Variante Desktop-PC 3 Jahre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</si>
</sst>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8" formatCode="#,##0.00\ &quot;€&quot;;[Red]\-#,##0.00\ &quot;€&quot;"/>
    <numFmt numFmtId="44" formatCode="_-* #,##0.00\ &quot;€&quot;_-;\-* #,##0.00\ &quot;€&quot;_-;_-* &quot;-&quot;??\ &quot;€&quot;_-;_-@_-"/>
    <numFmt numFmtId="43" formatCode="_-* #,##0.00_-;\-* #,##0.00_-;_-* &quot;-&quot;??_-;_-@_-"/>
    <numFmt numFmtId="164" formatCode="_-[$€-2]\ * #,##0.00_-;\-[$€-2]\ * #,##0.00_-;_-[$€-2]\ * &quot;-&quot;??_-;_-@_-"/>
    <numFmt numFmtId="165" formatCode="0.0%"/>
    <numFmt numFmtId="166" formatCode="0.0000"/>
    <numFmt numFmtId="167" formatCode="_-[$€-C07]\ * #,##0.00_-;\-[$€-C07]\ * #,##0.00_-;_-[$€-C07]\ * &quot;-&quot;??_-;_-@_-"/>
    <numFmt numFmtId="168" formatCode="_-&quot;€&quot;\ * #,##0.00_-;\-&quot;€&quot;\ * #,##0.00_-;_-&quot;€&quot;\ * &quot;-&quot;??_-;_-@_-"/>
    <numFmt numFmtId="169" formatCode="_-* #,##0.00\ [$€-407]_-;\-* #,##0.00\ [$€-407]_-;_-* &quot;-&quot;??\ [$€-407]_-;_-@_-"/>
    <numFmt numFmtId="170" formatCode="_-* #,##0_-;\-* #,##0_-;_-* &quot;-&quot;??_-;_-@_-"/>
    <numFmt numFmtId="171" formatCode="0.000"/>
  </numFmts>
  <fonts count="102">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theme="1"/>
      <name val="Calibri"/>
      <family val="2"/>
      <scheme val="minor"/>
    </font>
    <font>
      <sz val="11"/>
      <color theme="1" tint="0.249977111117893"/>
      <name val="Calibri"/>
      <family val="2"/>
      <scheme val="minor"/>
    </font>
    <font>
      <b/>
      <sz val="11"/>
      <color theme="1"/>
      <name val="Calibri"/>
      <family val="2"/>
      <scheme val="minor"/>
    </font>
    <font>
      <sz val="11"/>
      <name val="Calibri"/>
      <family val="2"/>
      <scheme val="minor"/>
    </font>
    <font>
      <b/>
      <sz val="12"/>
      <color theme="1"/>
      <name val="Calibri"/>
      <family val="2"/>
      <scheme val="minor"/>
    </font>
    <font>
      <sz val="8"/>
      <color theme="1"/>
      <name val="Calibri"/>
      <family val="2"/>
      <scheme val="minor"/>
    </font>
    <font>
      <u/>
      <sz val="11"/>
      <color theme="10"/>
      <name val="Calibri"/>
      <family val="2"/>
      <scheme val="minor"/>
    </font>
    <font>
      <sz val="11"/>
      <color theme="1"/>
      <name val="Arial"/>
      <family val="2"/>
    </font>
    <font>
      <b/>
      <sz val="11"/>
      <name val="Calibri"/>
      <family val="2"/>
      <scheme val="minor"/>
    </font>
    <font>
      <sz val="11"/>
      <color theme="0"/>
      <name val="Calibri"/>
      <family val="2"/>
      <scheme val="minor"/>
    </font>
    <font>
      <b/>
      <sz val="11"/>
      <color theme="0"/>
      <name val="Calibri"/>
      <family val="2"/>
      <scheme val="minor"/>
    </font>
    <font>
      <b/>
      <sz val="20"/>
      <color theme="0"/>
      <name val="Calibri"/>
      <family val="2"/>
      <scheme val="minor"/>
    </font>
    <font>
      <b/>
      <sz val="72"/>
      <name val="Calibri"/>
      <family val="2"/>
      <scheme val="minor"/>
    </font>
    <font>
      <i/>
      <sz val="11"/>
      <color theme="1"/>
      <name val="Calibri"/>
      <family val="2"/>
      <scheme val="minor"/>
    </font>
    <font>
      <sz val="18"/>
      <color theme="1"/>
      <name val="Calibri"/>
      <family val="2"/>
      <scheme val="minor"/>
    </font>
    <font>
      <u/>
      <sz val="8"/>
      <color theme="10"/>
      <name val="Calibri"/>
      <family val="2"/>
      <scheme val="minor"/>
    </font>
    <font>
      <sz val="8"/>
      <name val="Arial"/>
      <family val="2"/>
    </font>
    <font>
      <sz val="11"/>
      <color theme="0" tint="-0.249977111117893"/>
      <name val="Arial"/>
      <family val="2"/>
    </font>
    <font>
      <b/>
      <sz val="11"/>
      <color theme="0" tint="-0.249977111117893"/>
      <name val="Arial"/>
      <family val="2"/>
    </font>
    <font>
      <sz val="11"/>
      <color rgb="FFFF0000"/>
      <name val="Calibri"/>
      <family val="2"/>
      <scheme val="minor"/>
    </font>
    <font>
      <b/>
      <sz val="48"/>
      <name val="Calibri"/>
      <family val="2"/>
      <scheme val="minor"/>
    </font>
    <font>
      <sz val="14"/>
      <color theme="1"/>
      <name val="Calibri"/>
      <family val="2"/>
      <scheme val="minor"/>
    </font>
    <font>
      <sz val="26"/>
      <color theme="1"/>
      <name val="Calibri"/>
      <family val="2"/>
      <scheme val="minor"/>
    </font>
    <font>
      <b/>
      <sz val="26"/>
      <color theme="1"/>
      <name val="Calibri"/>
      <family val="2"/>
      <scheme val="minor"/>
    </font>
    <font>
      <b/>
      <u/>
      <sz val="11"/>
      <color theme="1"/>
      <name val="Calibri"/>
      <family val="2"/>
      <scheme val="minor"/>
    </font>
    <font>
      <b/>
      <u/>
      <sz val="11"/>
      <name val="Calibri"/>
      <family val="2"/>
      <scheme val="minor"/>
    </font>
    <font>
      <u/>
      <sz val="11"/>
      <color theme="1"/>
      <name val="Calibri"/>
      <family val="2"/>
      <scheme val="minor"/>
    </font>
    <font>
      <u/>
      <sz val="11"/>
      <name val="Calibri"/>
      <family val="2"/>
      <scheme val="minor"/>
    </font>
    <font>
      <i/>
      <sz val="11"/>
      <color theme="0"/>
      <name val="Calibri"/>
      <family val="2"/>
      <scheme val="minor"/>
    </font>
    <font>
      <sz val="10"/>
      <color theme="1"/>
      <name val="Calibri"/>
      <family val="2"/>
      <scheme val="minor"/>
    </font>
    <font>
      <b/>
      <sz val="12"/>
      <name val="Calibri"/>
      <family val="2"/>
      <scheme val="minor"/>
    </font>
    <font>
      <i/>
      <sz val="10"/>
      <color theme="0"/>
      <name val="Calibri"/>
      <family val="2"/>
      <scheme val="minor"/>
    </font>
    <font>
      <i/>
      <sz val="10"/>
      <color theme="1"/>
      <name val="Calibri"/>
      <family val="2"/>
      <scheme val="minor"/>
    </font>
    <font>
      <b/>
      <i/>
      <sz val="11"/>
      <color theme="1"/>
      <name val="Calibri"/>
      <family val="2"/>
      <scheme val="minor"/>
    </font>
    <font>
      <sz val="10"/>
      <color rgb="FF000000"/>
      <name val="Calibri"/>
      <family val="2"/>
      <scheme val="minor"/>
    </font>
    <font>
      <b/>
      <sz val="48"/>
      <color rgb="FFFF0000"/>
      <name val="Calibri"/>
      <family val="2"/>
      <scheme val="minor"/>
    </font>
    <font>
      <b/>
      <u/>
      <sz val="18"/>
      <color theme="1"/>
      <name val="Calibri"/>
      <family val="2"/>
      <scheme val="minor"/>
    </font>
    <font>
      <b/>
      <vertAlign val="subscript"/>
      <sz val="26"/>
      <color theme="1"/>
      <name val="Calibri"/>
      <family val="2"/>
      <scheme val="minor"/>
    </font>
    <font>
      <vertAlign val="subscript"/>
      <sz val="11"/>
      <color theme="1"/>
      <name val="Calibri"/>
      <family val="2"/>
      <scheme val="minor"/>
    </font>
    <font>
      <b/>
      <sz val="26"/>
      <name val="Calibri"/>
      <family val="2"/>
      <scheme val="minor"/>
    </font>
    <font>
      <b/>
      <i/>
      <sz val="11"/>
      <name val="Calibri"/>
      <family val="2"/>
      <scheme val="minor"/>
    </font>
    <font>
      <i/>
      <sz val="11"/>
      <name val="Calibri"/>
      <family val="2"/>
      <scheme val="minor"/>
    </font>
    <font>
      <i/>
      <sz val="10"/>
      <name val="Calibri"/>
      <family val="2"/>
      <scheme val="minor"/>
    </font>
    <font>
      <b/>
      <i/>
      <sz val="14"/>
      <color theme="1"/>
      <name val="Calibri"/>
      <family val="2"/>
      <scheme val="minor"/>
    </font>
    <font>
      <i/>
      <vertAlign val="subscript"/>
      <sz val="11"/>
      <name val="Calibri"/>
      <family val="2"/>
      <scheme val="minor"/>
    </font>
    <font>
      <b/>
      <vertAlign val="subscript"/>
      <sz val="11"/>
      <color theme="1"/>
      <name val="Calibri"/>
      <family val="2"/>
      <scheme val="minor"/>
    </font>
    <font>
      <vertAlign val="subscript"/>
      <sz val="11"/>
      <name val="Calibri"/>
      <family val="2"/>
      <scheme val="minor"/>
    </font>
    <font>
      <b/>
      <sz val="16"/>
      <name val="Calibri"/>
      <family val="2"/>
      <scheme val="minor"/>
    </font>
    <font>
      <b/>
      <i/>
      <sz val="14"/>
      <name val="Calibri"/>
      <family val="2"/>
      <scheme val="minor"/>
    </font>
    <font>
      <b/>
      <sz val="14"/>
      <name val="Calibri"/>
      <family val="2"/>
      <scheme val="minor"/>
    </font>
    <font>
      <vertAlign val="superscript"/>
      <sz val="11"/>
      <color theme="1"/>
      <name val="Calibri"/>
      <family val="2"/>
      <scheme val="minor"/>
    </font>
    <font>
      <b/>
      <sz val="11"/>
      <color theme="1"/>
      <name val="Calibri"/>
      <scheme val="minor"/>
    </font>
    <font>
      <i/>
      <sz val="8"/>
      <color theme="1"/>
      <name val="Calibri"/>
      <family val="2"/>
      <scheme val="minor"/>
    </font>
    <font>
      <b/>
      <sz val="16"/>
      <color theme="1"/>
      <name val="Calibri"/>
      <family val="2"/>
      <scheme val="minor"/>
    </font>
    <font>
      <sz val="11"/>
      <name val="Calibri"/>
      <scheme val="minor"/>
    </font>
    <font>
      <sz val="18"/>
      <color theme="1"/>
      <name val="Calibri"/>
      <scheme val="minor"/>
    </font>
    <font>
      <i/>
      <sz val="8"/>
      <color theme="1"/>
      <name val="Calibri"/>
      <scheme val="minor"/>
    </font>
    <font>
      <b/>
      <sz val="18"/>
      <color theme="1"/>
      <name val="Calibri"/>
      <family val="2"/>
      <scheme val="minor"/>
    </font>
    <font>
      <i/>
      <u/>
      <sz val="11"/>
      <name val="Calibri"/>
      <family val="2"/>
      <scheme val="minor"/>
    </font>
    <font>
      <b/>
      <u/>
      <sz val="26"/>
      <color theme="1"/>
      <name val="Calibri"/>
      <family val="2"/>
      <scheme val="minor"/>
    </font>
    <font>
      <u/>
      <vertAlign val="subscript"/>
      <sz val="11"/>
      <name val="Calibri"/>
      <family val="2"/>
      <scheme val="minor"/>
    </font>
    <font>
      <b/>
      <vertAlign val="subscript"/>
      <sz val="11"/>
      <name val="Calibri"/>
      <family val="2"/>
      <scheme val="minor"/>
    </font>
    <font>
      <b/>
      <i/>
      <u/>
      <sz val="11"/>
      <name val="Calibri"/>
      <family val="2"/>
      <scheme val="minor"/>
    </font>
    <font>
      <b/>
      <u/>
      <sz val="16"/>
      <color theme="1"/>
      <name val="Calibri"/>
      <family val="2"/>
      <scheme val="minor"/>
    </font>
    <font>
      <b/>
      <vertAlign val="subscript"/>
      <sz val="26"/>
      <name val="Calibri"/>
      <family val="2"/>
      <scheme val="minor"/>
    </font>
    <font>
      <b/>
      <sz val="9"/>
      <color theme="1"/>
      <name val="Calibri"/>
      <family val="2"/>
      <scheme val="minor"/>
    </font>
    <font>
      <i/>
      <sz val="9"/>
      <color theme="1"/>
      <name val="Calibri"/>
      <family val="2"/>
      <scheme val="minor"/>
    </font>
    <font>
      <b/>
      <vertAlign val="subscript"/>
      <sz val="14"/>
      <name val="Calibri"/>
      <family val="2"/>
      <scheme val="minor"/>
    </font>
    <font>
      <i/>
      <vertAlign val="subscript"/>
      <sz val="10"/>
      <name val="Calibri"/>
      <family val="2"/>
      <scheme val="minor"/>
    </font>
    <font>
      <b/>
      <u/>
      <sz val="26"/>
      <name val="Calibri"/>
      <family val="2"/>
      <scheme val="minor"/>
    </font>
    <font>
      <b/>
      <vertAlign val="subscript"/>
      <sz val="14"/>
      <color theme="1"/>
      <name val="Calibri"/>
      <family val="2"/>
      <scheme val="minor"/>
    </font>
    <font>
      <b/>
      <vertAlign val="subscript"/>
      <sz val="16"/>
      <name val="Calibri"/>
      <family val="2"/>
      <scheme val="minor"/>
    </font>
    <font>
      <sz val="9"/>
      <color theme="1"/>
      <name val="Calibri"/>
      <family val="2"/>
      <scheme val="minor"/>
    </font>
    <font>
      <i/>
      <u/>
      <sz val="9"/>
      <color theme="1"/>
      <name val="Calibri"/>
      <family val="2"/>
      <scheme val="minor"/>
    </font>
    <font>
      <b/>
      <u/>
      <sz val="14"/>
      <color theme="1"/>
      <name val="Calibri"/>
      <family val="2"/>
      <scheme val="minor"/>
    </font>
    <font>
      <i/>
      <u/>
      <sz val="11"/>
      <color theme="1"/>
      <name val="Calibri"/>
      <family val="2"/>
      <scheme val="minor"/>
    </font>
    <font>
      <sz val="10"/>
      <name val="Calibri"/>
      <family val="2"/>
      <scheme val="minor"/>
    </font>
    <font>
      <sz val="9"/>
      <color indexed="81"/>
      <name val="Segoe UI"/>
      <charset val="1"/>
    </font>
    <font>
      <b/>
      <sz val="9"/>
      <color indexed="81"/>
      <name val="Segoe UI"/>
      <family val="2"/>
    </font>
    <font>
      <sz val="9"/>
      <color indexed="81"/>
      <name val="Segoe UI"/>
      <family val="2"/>
    </font>
    <font>
      <u/>
      <sz val="9"/>
      <color indexed="81"/>
      <name val="Segoe UI"/>
      <family val="2"/>
    </font>
    <font>
      <b/>
      <u/>
      <sz val="9"/>
      <color indexed="81"/>
      <name val="Segoe UI"/>
      <family val="2"/>
    </font>
  </fonts>
  <fills count="18">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bgColor indexed="64"/>
      </patternFill>
    </fill>
    <fill>
      <patternFill patternType="solid">
        <fgColor rgb="FFC5C5C9"/>
        <bgColor indexed="64"/>
      </patternFill>
    </fill>
    <fill>
      <patternFill patternType="solid">
        <fgColor theme="9" tint="0.79998168889431442"/>
        <bgColor theme="9" tint="0.79998168889431442"/>
      </patternFill>
    </fill>
    <fill>
      <patternFill patternType="solid">
        <fgColor rgb="FFFFD288"/>
        <bgColor indexed="64"/>
      </patternFill>
    </fill>
    <fill>
      <patternFill patternType="solid">
        <fgColor rgb="FFD9BBD8"/>
        <bgColor indexed="64"/>
      </patternFill>
    </fill>
    <fill>
      <patternFill patternType="solid">
        <fgColor rgb="FF88DEFF"/>
        <bgColor indexed="64"/>
      </patternFill>
    </fill>
    <fill>
      <patternFill patternType="solid">
        <fgColor rgb="FFF1A0BD"/>
        <bgColor indexed="64"/>
      </patternFill>
    </fill>
    <fill>
      <patternFill patternType="solid">
        <fgColor rgb="FFDEF1D3"/>
        <bgColor indexed="64"/>
      </patternFill>
    </fill>
    <fill>
      <patternFill patternType="solid">
        <fgColor rgb="FFDEF1D3"/>
        <bgColor theme="9" tint="0.79998168889431442"/>
      </patternFill>
    </fill>
    <fill>
      <patternFill patternType="solid">
        <fgColor rgb="FFBCE4A7"/>
        <bgColor indexed="64"/>
      </patternFill>
    </fill>
    <fill>
      <patternFill patternType="solid">
        <fgColor rgb="FF85DFFF"/>
        <bgColor indexed="64"/>
      </patternFill>
    </fill>
  </fills>
  <borders count="14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theme="9"/>
      </left>
      <right style="thin">
        <color theme="9"/>
      </right>
      <top style="thin">
        <color theme="9"/>
      </top>
      <bottom style="thin">
        <color theme="9"/>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theme="9"/>
      </left>
      <right style="thin">
        <color theme="9"/>
      </right>
      <top style="thin">
        <color theme="9"/>
      </top>
      <bottom/>
      <diagonal/>
    </border>
    <border>
      <left style="thin">
        <color theme="9"/>
      </left>
      <right style="thin">
        <color theme="9"/>
      </right>
      <top/>
      <bottom style="thin">
        <color theme="9"/>
      </bottom>
      <diagonal/>
    </border>
    <border>
      <left style="thick">
        <color rgb="FFFFD288"/>
      </left>
      <right/>
      <top style="thick">
        <color rgb="FFFFD288"/>
      </top>
      <bottom/>
      <diagonal/>
    </border>
    <border>
      <left/>
      <right/>
      <top style="thick">
        <color rgb="FFFFD288"/>
      </top>
      <bottom/>
      <diagonal/>
    </border>
    <border>
      <left/>
      <right style="thick">
        <color rgb="FFFFD288"/>
      </right>
      <top style="thick">
        <color rgb="FFFFD288"/>
      </top>
      <bottom/>
      <diagonal/>
    </border>
    <border>
      <left style="thick">
        <color rgb="FFFFD288"/>
      </left>
      <right/>
      <top/>
      <bottom/>
      <diagonal/>
    </border>
    <border>
      <left/>
      <right style="thick">
        <color rgb="FFFFD288"/>
      </right>
      <top/>
      <bottom/>
      <diagonal/>
    </border>
    <border>
      <left style="thick">
        <color rgb="FFFFD288"/>
      </left>
      <right/>
      <top/>
      <bottom style="thick">
        <color rgb="FFFFD288"/>
      </bottom>
      <diagonal/>
    </border>
    <border>
      <left/>
      <right/>
      <top/>
      <bottom style="thick">
        <color rgb="FFFFD288"/>
      </bottom>
      <diagonal/>
    </border>
    <border>
      <left/>
      <right style="thick">
        <color rgb="FFFFD288"/>
      </right>
      <top/>
      <bottom style="thick">
        <color rgb="FFFFD288"/>
      </bottom>
      <diagonal/>
    </border>
    <border>
      <left/>
      <right/>
      <top style="thin">
        <color indexed="64"/>
      </top>
      <bottom style="medium">
        <color indexed="64"/>
      </bottom>
      <diagonal/>
    </border>
    <border>
      <left style="thick">
        <color rgb="FFD9BBD8"/>
      </left>
      <right/>
      <top style="thick">
        <color rgb="FFD9BBD8"/>
      </top>
      <bottom/>
      <diagonal/>
    </border>
    <border>
      <left/>
      <right/>
      <top style="thick">
        <color rgb="FFD9BBD8"/>
      </top>
      <bottom/>
      <diagonal/>
    </border>
    <border>
      <left/>
      <right style="thick">
        <color rgb="FFD9BBD8"/>
      </right>
      <top style="thick">
        <color rgb="FFD9BBD8"/>
      </top>
      <bottom/>
      <diagonal/>
    </border>
    <border>
      <left style="thick">
        <color rgb="FFD9BBD8"/>
      </left>
      <right/>
      <top/>
      <bottom/>
      <diagonal/>
    </border>
    <border>
      <left/>
      <right style="thick">
        <color rgb="FFD9BBD8"/>
      </right>
      <top/>
      <bottom/>
      <diagonal/>
    </border>
    <border>
      <left style="thick">
        <color rgb="FFD9BBD8"/>
      </left>
      <right/>
      <top/>
      <bottom style="thick">
        <color rgb="FFD9BBD8"/>
      </bottom>
      <diagonal/>
    </border>
    <border>
      <left/>
      <right/>
      <top/>
      <bottom style="thick">
        <color rgb="FFD9BBD8"/>
      </bottom>
      <diagonal/>
    </border>
    <border>
      <left/>
      <right style="thick">
        <color rgb="FFD9BBD8"/>
      </right>
      <top/>
      <bottom style="thick">
        <color rgb="FFD9BBD8"/>
      </bottom>
      <diagonal/>
    </border>
    <border>
      <left style="thick">
        <color rgb="FF88DEFF"/>
      </left>
      <right/>
      <top style="thick">
        <color rgb="FF88DEFF"/>
      </top>
      <bottom/>
      <diagonal/>
    </border>
    <border>
      <left/>
      <right/>
      <top style="thick">
        <color rgb="FF88DEFF"/>
      </top>
      <bottom/>
      <diagonal/>
    </border>
    <border>
      <left/>
      <right style="thick">
        <color rgb="FF88DEFF"/>
      </right>
      <top style="thick">
        <color rgb="FF88DEFF"/>
      </top>
      <bottom/>
      <diagonal/>
    </border>
    <border>
      <left style="thick">
        <color rgb="FF88DEFF"/>
      </left>
      <right/>
      <top/>
      <bottom/>
      <diagonal/>
    </border>
    <border>
      <left/>
      <right style="thick">
        <color rgb="FF88DEFF"/>
      </right>
      <top/>
      <bottom/>
      <diagonal/>
    </border>
    <border>
      <left style="thick">
        <color rgb="FF88DEFF"/>
      </left>
      <right/>
      <top/>
      <bottom style="thick">
        <color rgb="FF88DEFF"/>
      </bottom>
      <diagonal/>
    </border>
    <border>
      <left/>
      <right/>
      <top/>
      <bottom style="thick">
        <color rgb="FF88DEFF"/>
      </bottom>
      <diagonal/>
    </border>
    <border>
      <left/>
      <right style="thick">
        <color rgb="FF88DEFF"/>
      </right>
      <top/>
      <bottom style="thick">
        <color rgb="FF88DEFF"/>
      </bottom>
      <diagonal/>
    </border>
    <border>
      <left style="thick">
        <color rgb="FFF1A0BD"/>
      </left>
      <right/>
      <top style="thick">
        <color rgb="FFF1A0BD"/>
      </top>
      <bottom/>
      <diagonal/>
    </border>
    <border>
      <left/>
      <right/>
      <top style="thick">
        <color rgb="FFF1A0BD"/>
      </top>
      <bottom/>
      <diagonal/>
    </border>
    <border>
      <left/>
      <right style="thick">
        <color rgb="FFF1A0BD"/>
      </right>
      <top style="thick">
        <color rgb="FFF1A0BD"/>
      </top>
      <bottom/>
      <diagonal/>
    </border>
    <border>
      <left style="thick">
        <color rgb="FFF1A0BD"/>
      </left>
      <right/>
      <top/>
      <bottom/>
      <diagonal/>
    </border>
    <border>
      <left/>
      <right style="thick">
        <color rgb="FFF1A0BD"/>
      </right>
      <top/>
      <bottom/>
      <diagonal/>
    </border>
    <border>
      <left style="thick">
        <color rgb="FFF1A0BD"/>
      </left>
      <right/>
      <top/>
      <bottom style="thick">
        <color rgb="FFF1A0BD"/>
      </bottom>
      <diagonal/>
    </border>
    <border>
      <left/>
      <right/>
      <top/>
      <bottom style="thick">
        <color rgb="FFF1A0BD"/>
      </bottom>
      <diagonal/>
    </border>
    <border>
      <left/>
      <right style="thick">
        <color rgb="FFF1A0BD"/>
      </right>
      <top/>
      <bottom style="thick">
        <color rgb="FFF1A0BD"/>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rgb="FFBCE4A7"/>
      </left>
      <right/>
      <top style="thick">
        <color rgb="FFBCE4A7"/>
      </top>
      <bottom/>
      <diagonal/>
    </border>
    <border>
      <left/>
      <right/>
      <top style="thick">
        <color rgb="FFBCE4A7"/>
      </top>
      <bottom/>
      <diagonal/>
    </border>
    <border>
      <left/>
      <right style="thick">
        <color rgb="FFBCE4A7"/>
      </right>
      <top style="thick">
        <color rgb="FFBCE4A7"/>
      </top>
      <bottom/>
      <diagonal/>
    </border>
    <border>
      <left style="thick">
        <color rgb="FFBCE4A7"/>
      </left>
      <right/>
      <top/>
      <bottom/>
      <diagonal/>
    </border>
    <border>
      <left/>
      <right style="thick">
        <color rgb="FFBCE4A7"/>
      </right>
      <top/>
      <bottom/>
      <diagonal/>
    </border>
    <border>
      <left style="thick">
        <color rgb="FFBCE4A7"/>
      </left>
      <right/>
      <top/>
      <bottom style="thick">
        <color rgb="FFBCE4A7"/>
      </bottom>
      <diagonal/>
    </border>
    <border>
      <left/>
      <right/>
      <top/>
      <bottom style="thick">
        <color rgb="FFBCE4A7"/>
      </bottom>
      <diagonal/>
    </border>
    <border>
      <left/>
      <right style="thick">
        <color rgb="FFBCE4A7"/>
      </right>
      <top/>
      <bottom style="thick">
        <color rgb="FFBCE4A7"/>
      </bottom>
      <diagonal/>
    </border>
    <border>
      <left style="thick">
        <color rgb="FFBCE4A7"/>
      </left>
      <right/>
      <top style="thick">
        <color rgb="FFBCE4A7"/>
      </top>
      <bottom style="thick">
        <color rgb="FFBCE4A7"/>
      </bottom>
      <diagonal/>
    </border>
    <border>
      <left/>
      <right/>
      <top style="thick">
        <color rgb="FFBCE4A7"/>
      </top>
      <bottom style="thick">
        <color rgb="FFBCE4A7"/>
      </bottom>
      <diagonal/>
    </border>
    <border>
      <left/>
      <right style="thick">
        <color rgb="FFBCE4A7"/>
      </right>
      <top style="thick">
        <color rgb="FFBCE4A7"/>
      </top>
      <bottom style="thick">
        <color rgb="FFBCE4A7"/>
      </bottom>
      <diagonal/>
    </border>
    <border>
      <left style="thick">
        <color rgb="FFBCE4A7"/>
      </left>
      <right/>
      <top/>
      <bottom style="double">
        <color indexed="64"/>
      </bottom>
      <diagonal/>
    </border>
    <border>
      <left/>
      <right/>
      <top/>
      <bottom style="thin">
        <color theme="9"/>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dotted">
        <color theme="2"/>
      </top>
      <bottom style="dotted">
        <color theme="2"/>
      </bottom>
      <diagonal/>
    </border>
    <border>
      <left/>
      <right style="medium">
        <color indexed="64"/>
      </right>
      <top style="dotted">
        <color theme="2"/>
      </top>
      <bottom style="dotted">
        <color theme="2"/>
      </bottom>
      <diagonal/>
    </border>
    <border>
      <left style="medium">
        <color indexed="64"/>
      </left>
      <right/>
      <top/>
      <bottom style="dotted">
        <color theme="2"/>
      </bottom>
      <diagonal/>
    </border>
    <border>
      <left/>
      <right/>
      <top/>
      <bottom style="dotted">
        <color theme="2"/>
      </bottom>
      <diagonal/>
    </border>
    <border>
      <left/>
      <right style="medium">
        <color indexed="64"/>
      </right>
      <top/>
      <bottom style="dotted">
        <color theme="2"/>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ck">
        <color rgb="FFFFD288"/>
      </left>
      <right style="thick">
        <color rgb="FFFFD288"/>
      </right>
      <top/>
      <bottom/>
      <diagonal/>
    </border>
    <border>
      <left style="thick">
        <color rgb="FFFFD288"/>
      </left>
      <right style="thick">
        <color rgb="FFFFD288"/>
      </right>
      <top/>
      <bottom style="thick">
        <color rgb="FFFFD288"/>
      </bottom>
      <diagonal/>
    </border>
    <border>
      <left style="thick">
        <color rgb="FF88DEFF"/>
      </left>
      <right style="thick">
        <color rgb="FF88DEFF"/>
      </right>
      <top style="thick">
        <color rgb="FF88DEFF"/>
      </top>
      <bottom/>
      <diagonal/>
    </border>
    <border>
      <left style="thick">
        <color rgb="FF88DEFF"/>
      </left>
      <right style="thick">
        <color rgb="FF88DEFF"/>
      </right>
      <top/>
      <bottom/>
      <diagonal/>
    </border>
    <border>
      <left style="thick">
        <color rgb="FF88DEFF"/>
      </left>
      <right style="thick">
        <color rgb="FF88DEFF"/>
      </right>
      <top/>
      <bottom style="thick">
        <color rgb="FF88DEFF"/>
      </bottom>
      <diagonal/>
    </border>
    <border>
      <left style="thick">
        <color rgb="FFBCE4A7"/>
      </left>
      <right style="thick">
        <color rgb="FFBCE4A7"/>
      </right>
      <top style="thick">
        <color rgb="FFBCE4A7"/>
      </top>
      <bottom/>
      <diagonal/>
    </border>
    <border>
      <left style="thick">
        <color rgb="FFBCE4A7"/>
      </left>
      <right style="thick">
        <color rgb="FFBCE4A7"/>
      </right>
      <top/>
      <bottom/>
      <diagonal/>
    </border>
    <border>
      <left style="thick">
        <color rgb="FFBCE4A7"/>
      </left>
      <right style="thick">
        <color rgb="FFBCE4A7"/>
      </right>
      <top/>
      <bottom style="thick">
        <color rgb="FFBCE4A7"/>
      </bottom>
      <diagonal/>
    </border>
    <border>
      <left style="thick">
        <color rgb="FFD9BBD8"/>
      </left>
      <right style="thick">
        <color rgb="FFD9BBD8"/>
      </right>
      <top style="thick">
        <color rgb="FFD9BBD8"/>
      </top>
      <bottom/>
      <diagonal/>
    </border>
    <border>
      <left style="thick">
        <color rgb="FFD9BBD8"/>
      </left>
      <right style="thick">
        <color rgb="FFD9BBD8"/>
      </right>
      <top/>
      <bottom/>
      <diagonal/>
    </border>
    <border>
      <left style="thick">
        <color rgb="FFD9BBD8"/>
      </left>
      <right style="thick">
        <color rgb="FFD9BBD8"/>
      </right>
      <top/>
      <bottom style="thick">
        <color rgb="FFD9BBD8"/>
      </bottom>
      <diagonal/>
    </border>
    <border>
      <left style="thick">
        <color rgb="FFF1A0BD"/>
      </left>
      <right style="thick">
        <color rgb="FFF1A0BD"/>
      </right>
      <top style="thick">
        <color rgb="FFF1A0BD"/>
      </top>
      <bottom/>
      <diagonal/>
    </border>
    <border>
      <left style="thick">
        <color rgb="FFF1A0BD"/>
      </left>
      <right style="thick">
        <color rgb="FFF1A0BD"/>
      </right>
      <top/>
      <bottom/>
      <diagonal/>
    </border>
    <border>
      <left style="thick">
        <color rgb="FFF1A0BD"/>
      </left>
      <right style="thick">
        <color rgb="FFF1A0BD"/>
      </right>
      <top/>
      <bottom style="thick">
        <color rgb="FFF1A0BD"/>
      </bottom>
      <diagonal/>
    </border>
    <border>
      <left style="thick">
        <color auto="1"/>
      </left>
      <right style="thick">
        <color indexed="64"/>
      </right>
      <top style="thick">
        <color auto="1"/>
      </top>
      <bottom style="thick">
        <color indexed="64"/>
      </bottom>
      <diagonal/>
    </border>
    <border>
      <left style="thick">
        <color auto="1"/>
      </left>
      <right style="thick">
        <color indexed="64"/>
      </right>
      <top/>
      <bottom/>
      <diagonal/>
    </border>
    <border>
      <left style="thick">
        <color auto="1"/>
      </left>
      <right style="thick">
        <color indexed="64"/>
      </right>
      <top/>
      <bottom style="thick">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diagonal/>
    </border>
    <border>
      <left/>
      <right style="medium">
        <color theme="0" tint="-0.34998626667073579"/>
      </right>
      <top/>
      <bottom/>
      <diagonal/>
    </border>
    <border>
      <left style="medium">
        <color theme="0" tint="-0.34998626667073579"/>
      </left>
      <right/>
      <top/>
      <bottom style="medium">
        <color theme="0" tint="-0.34998626667073579"/>
      </bottom>
      <diagonal/>
    </border>
    <border>
      <left/>
      <right/>
      <top/>
      <bottom style="medium">
        <color theme="0" tint="-0.34998626667073579"/>
      </bottom>
      <diagonal/>
    </border>
    <border>
      <left/>
      <right style="medium">
        <color theme="0" tint="-0.34998626667073579"/>
      </right>
      <top/>
      <bottom style="medium">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right/>
      <top style="medium">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thin">
        <color indexed="64"/>
      </bottom>
      <diagonal/>
    </border>
    <border>
      <left/>
      <right/>
      <top/>
      <bottom style="thick">
        <color rgb="FF85DFFF"/>
      </bottom>
      <diagonal/>
    </border>
    <border>
      <left/>
      <right/>
      <top style="thick">
        <color rgb="FF88DEFF"/>
      </top>
      <bottom style="thick">
        <color rgb="FF85DFFF"/>
      </bottom>
      <diagonal/>
    </border>
    <border>
      <left/>
      <right style="thick">
        <color rgb="FF85DFFF"/>
      </right>
      <top/>
      <bottom style="thick">
        <color rgb="FF85DFFF"/>
      </bottom>
      <diagonal/>
    </border>
    <border>
      <left/>
      <right style="thick">
        <color rgb="FF85DFFF"/>
      </right>
      <top/>
      <bottom/>
      <diagonal/>
    </border>
    <border>
      <left style="thick">
        <color rgb="FF85DFFF"/>
      </left>
      <right/>
      <top/>
      <bottom style="thick">
        <color rgb="FF85DFFF"/>
      </bottom>
      <diagonal/>
    </border>
    <border>
      <left style="thick">
        <color rgb="FFD9BBD8"/>
      </left>
      <right style="thick">
        <color rgb="FFBCE4A7"/>
      </right>
      <top/>
      <bottom/>
      <diagonal/>
    </border>
  </borders>
  <cellStyleXfs count="8">
    <xf numFmtId="0" fontId="0" fillId="0" borderId="0"/>
    <xf numFmtId="0" fontId="19" fillId="0" borderId="0"/>
    <xf numFmtId="9" fontId="19" fillId="0" borderId="0" applyFont="0" applyFill="0" applyBorder="0" applyAlignment="0" applyProtection="0"/>
    <xf numFmtId="0" fontId="26" fillId="0" borderId="0" applyNumberFormat="0" applyFill="0" applyBorder="0" applyAlignment="0" applyProtection="0"/>
    <xf numFmtId="44" fontId="27" fillId="0" borderId="0" applyFont="0" applyFill="0" applyBorder="0" applyAlignment="0" applyProtection="0"/>
    <xf numFmtId="168"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cellStyleXfs>
  <cellXfs count="1024">
    <xf numFmtId="0" fontId="0" fillId="0" borderId="0" xfId="0"/>
    <xf numFmtId="0" fontId="0" fillId="2" borderId="0" xfId="0" applyFill="1"/>
    <xf numFmtId="0" fontId="19" fillId="0" borderId="0" xfId="1"/>
    <xf numFmtId="0" fontId="0" fillId="2" borderId="0" xfId="0" applyFill="1" applyAlignment="1">
      <alignment wrapText="1"/>
    </xf>
    <xf numFmtId="2" fontId="19" fillId="0" borderId="0" xfId="1" applyNumberFormat="1"/>
    <xf numFmtId="166" fontId="19" fillId="0" borderId="0" xfId="1" applyNumberFormat="1"/>
    <xf numFmtId="0" fontId="23" fillId="2" borderId="0" xfId="1" applyFont="1" applyFill="1"/>
    <xf numFmtId="0" fontId="19" fillId="2" borderId="0" xfId="1" applyFill="1"/>
    <xf numFmtId="0" fontId="29" fillId="2" borderId="0" xfId="1" applyFont="1" applyFill="1"/>
    <xf numFmtId="0" fontId="28" fillId="2" borderId="0" xfId="1" applyFont="1" applyFill="1" applyAlignment="1">
      <alignment horizontal="center"/>
    </xf>
    <xf numFmtId="164" fontId="28" fillId="2" borderId="0" xfId="1" applyNumberFormat="1" applyFont="1" applyFill="1" applyAlignment="1">
      <alignment horizontal="center"/>
    </xf>
    <xf numFmtId="0" fontId="19" fillId="6" borderId="18" xfId="1" applyFill="1" applyBorder="1" applyProtection="1">
      <protection locked="0"/>
    </xf>
    <xf numFmtId="166" fontId="19" fillId="6" borderId="18" xfId="1" applyNumberFormat="1" applyFill="1" applyBorder="1" applyProtection="1">
      <protection locked="0"/>
    </xf>
    <xf numFmtId="0" fontId="19" fillId="0" borderId="0" xfId="1" applyAlignment="1">
      <alignment wrapText="1"/>
    </xf>
    <xf numFmtId="0" fontId="19" fillId="2" borderId="0" xfId="1" applyFill="1" applyAlignment="1">
      <alignment horizontal="left" vertical="center" wrapText="1"/>
    </xf>
    <xf numFmtId="0" fontId="19" fillId="2" borderId="10" xfId="1" applyFill="1" applyBorder="1"/>
    <xf numFmtId="0" fontId="19" fillId="2" borderId="11" xfId="1" applyFill="1" applyBorder="1"/>
    <xf numFmtId="0" fontId="19" fillId="2" borderId="12" xfId="1" applyFill="1" applyBorder="1"/>
    <xf numFmtId="0" fontId="20" fillId="2" borderId="13" xfId="1" applyFont="1" applyFill="1" applyBorder="1"/>
    <xf numFmtId="0" fontId="19" fillId="2" borderId="10" xfId="1" applyFill="1" applyBorder="1" applyAlignment="1">
      <alignment horizontal="left" vertical="center" wrapText="1"/>
    </xf>
    <xf numFmtId="0" fontId="22" fillId="2" borderId="11" xfId="1" applyFont="1" applyFill="1" applyBorder="1"/>
    <xf numFmtId="0" fontId="22" fillId="2" borderId="12" xfId="1" applyFont="1" applyFill="1" applyBorder="1"/>
    <xf numFmtId="0" fontId="19" fillId="2" borderId="0" xfId="1" applyFill="1" applyAlignment="1">
      <alignment horizontal="right" vertical="center" wrapText="1"/>
    </xf>
    <xf numFmtId="0" fontId="19" fillId="2" borderId="16" xfId="1" applyFill="1" applyBorder="1"/>
    <xf numFmtId="0" fontId="19" fillId="2" borderId="17" xfId="1" applyFill="1" applyBorder="1"/>
    <xf numFmtId="0" fontId="22" fillId="2" borderId="17" xfId="1" applyFont="1" applyFill="1" applyBorder="1"/>
    <xf numFmtId="0" fontId="22" fillId="2" borderId="16" xfId="1" applyFont="1" applyFill="1" applyBorder="1"/>
    <xf numFmtId="0" fontId="22" fillId="2" borderId="0" xfId="1" applyFont="1" applyFill="1"/>
    <xf numFmtId="0" fontId="22" fillId="2" borderId="0" xfId="1" applyFont="1" applyFill="1" applyAlignment="1">
      <alignment wrapText="1"/>
    </xf>
    <xf numFmtId="0" fontId="21" fillId="2" borderId="0" xfId="1" applyFont="1" applyFill="1"/>
    <xf numFmtId="0" fontId="21" fillId="2" borderId="17" xfId="1" applyFont="1" applyFill="1" applyBorder="1"/>
    <xf numFmtId="0" fontId="19" fillId="2" borderId="13" xfId="1" applyFill="1" applyBorder="1"/>
    <xf numFmtId="0" fontId="19" fillId="2" borderId="14" xfId="1" applyFill="1" applyBorder="1"/>
    <xf numFmtId="0" fontId="19" fillId="2" borderId="15" xfId="1" applyFill="1" applyBorder="1"/>
    <xf numFmtId="0" fontId="21" fillId="2" borderId="14" xfId="1" applyFont="1" applyFill="1" applyBorder="1"/>
    <xf numFmtId="0" fontId="21" fillId="2" borderId="15" xfId="1" applyFont="1" applyFill="1" applyBorder="1"/>
    <xf numFmtId="0" fontId="22" fillId="2" borderId="10" xfId="1" applyFont="1" applyFill="1" applyBorder="1"/>
    <xf numFmtId="0" fontId="20" fillId="2" borderId="0" xfId="1" applyFont="1" applyFill="1"/>
    <xf numFmtId="0" fontId="23" fillId="2" borderId="14" xfId="1" applyFont="1" applyFill="1" applyBorder="1"/>
    <xf numFmtId="0" fontId="33" fillId="2" borderId="17" xfId="1" applyFont="1" applyFill="1" applyBorder="1" applyAlignment="1">
      <alignment horizontal="right"/>
    </xf>
    <xf numFmtId="0" fontId="33" fillId="2" borderId="0" xfId="1" applyFont="1" applyFill="1" applyAlignment="1">
      <alignment horizontal="right"/>
    </xf>
    <xf numFmtId="0" fontId="33" fillId="2" borderId="17" xfId="1" applyFont="1" applyFill="1" applyBorder="1"/>
    <xf numFmtId="0" fontId="33" fillId="2" borderId="0" xfId="1" applyFont="1" applyFill="1"/>
    <xf numFmtId="0" fontId="21" fillId="2" borderId="21" xfId="1" applyFont="1" applyFill="1" applyBorder="1"/>
    <xf numFmtId="0" fontId="20" fillId="2" borderId="13" xfId="1" applyFont="1" applyFill="1" applyBorder="1" applyAlignment="1">
      <alignment horizontal="left" vertical="center" wrapText="1"/>
    </xf>
    <xf numFmtId="0" fontId="25" fillId="0" borderId="0" xfId="1" applyFont="1" applyAlignment="1">
      <alignment wrapText="1"/>
    </xf>
    <xf numFmtId="0" fontId="35" fillId="0" borderId="0" xfId="3" applyFont="1" applyFill="1" applyAlignment="1" applyProtection="1">
      <alignment wrapText="1"/>
    </xf>
    <xf numFmtId="0" fontId="19" fillId="0" borderId="0" xfId="1" applyProtection="1">
      <protection locked="0"/>
    </xf>
    <xf numFmtId="0" fontId="35" fillId="0" borderId="0" xfId="3" applyFont="1" applyFill="1" applyBorder="1" applyAlignment="1" applyProtection="1">
      <alignment wrapText="1"/>
    </xf>
    <xf numFmtId="0" fontId="35" fillId="0" borderId="0" xfId="3" applyFont="1" applyFill="1" applyBorder="1" applyAlignment="1" applyProtection="1">
      <alignment horizontal="left" vertical="center" wrapText="1"/>
    </xf>
    <xf numFmtId="16" fontId="38" fillId="2" borderId="0" xfId="0" quotePrefix="1" applyNumberFormat="1" applyFont="1" applyFill="1" applyAlignment="1">
      <alignment wrapText="1"/>
    </xf>
    <xf numFmtId="0" fontId="23" fillId="0" borderId="0" xfId="1" applyFont="1"/>
    <xf numFmtId="0" fontId="32" fillId="2" borderId="0" xfId="1" applyFont="1" applyFill="1" applyAlignment="1">
      <alignment horizontal="center" vertical="center" wrapText="1"/>
    </xf>
    <xf numFmtId="0" fontId="18" fillId="0" borderId="0" xfId="1" applyFont="1"/>
    <xf numFmtId="0" fontId="18" fillId="2" borderId="0" xfId="1" applyFont="1" applyFill="1"/>
    <xf numFmtId="0" fontId="18" fillId="2" borderId="0" xfId="0" applyFont="1" applyFill="1"/>
    <xf numFmtId="0" fontId="42" fillId="2" borderId="0" xfId="0" applyFont="1" applyFill="1" applyAlignment="1">
      <alignment horizontal="center" vertical="center"/>
    </xf>
    <xf numFmtId="0" fontId="42" fillId="2" borderId="0" xfId="0" applyFont="1" applyFill="1" applyAlignment="1">
      <alignment horizontal="center" vertical="center" wrapText="1"/>
    </xf>
    <xf numFmtId="0" fontId="18" fillId="2" borderId="0" xfId="0" applyFont="1" applyFill="1" applyAlignment="1">
      <alignment wrapText="1"/>
    </xf>
    <xf numFmtId="0" fontId="22" fillId="0" borderId="26" xfId="0" applyFont="1" applyBorder="1" applyAlignment="1">
      <alignment horizontal="center" vertical="center" wrapText="1"/>
    </xf>
    <xf numFmtId="0" fontId="22" fillId="0" borderId="27" xfId="0" applyFont="1" applyBorder="1" applyAlignment="1">
      <alignment horizontal="center" vertical="center" wrapText="1"/>
    </xf>
    <xf numFmtId="0" fontId="22" fillId="0" borderId="28" xfId="0" applyFont="1" applyBorder="1" applyAlignment="1">
      <alignment horizontal="center" vertical="center" wrapText="1"/>
    </xf>
    <xf numFmtId="0" fontId="23" fillId="2" borderId="0" xfId="0" applyFont="1" applyFill="1"/>
    <xf numFmtId="0" fontId="22" fillId="2" borderId="0" xfId="0" applyFont="1" applyFill="1" applyAlignment="1">
      <alignment vertical="center" wrapText="1"/>
    </xf>
    <xf numFmtId="0" fontId="41" fillId="2" borderId="0" xfId="0" applyFont="1" applyFill="1" applyAlignment="1">
      <alignment vertical="center"/>
    </xf>
    <xf numFmtId="0" fontId="33" fillId="2" borderId="0" xfId="0" applyFont="1" applyFill="1"/>
    <xf numFmtId="0" fontId="33" fillId="2" borderId="0" xfId="0" applyFont="1" applyFill="1" applyAlignment="1">
      <alignment horizontal="left"/>
    </xf>
    <xf numFmtId="44" fontId="33" fillId="2" borderId="0" xfId="4" applyFont="1" applyFill="1" applyBorder="1" applyProtection="1"/>
    <xf numFmtId="0" fontId="43" fillId="2" borderId="0" xfId="0" applyFont="1" applyFill="1" applyAlignment="1">
      <alignment vertical="center"/>
    </xf>
    <xf numFmtId="0" fontId="40" fillId="2" borderId="0" xfId="1" applyFont="1" applyFill="1" applyAlignment="1">
      <alignment vertical="center" wrapText="1"/>
    </xf>
    <xf numFmtId="0" fontId="50" fillId="2" borderId="0" xfId="1" applyFont="1" applyFill="1"/>
    <xf numFmtId="0" fontId="42" fillId="2" borderId="0" xfId="0" applyFont="1" applyFill="1" applyAlignment="1">
      <alignment vertical="center"/>
    </xf>
    <xf numFmtId="0" fontId="22" fillId="2" borderId="0" xfId="0" applyFont="1" applyFill="1"/>
    <xf numFmtId="0" fontId="22" fillId="2" borderId="4" xfId="0" applyFont="1" applyFill="1" applyBorder="1"/>
    <xf numFmtId="0" fontId="18" fillId="2" borderId="0" xfId="0" applyFont="1" applyFill="1" applyAlignment="1">
      <alignment horizontal="left"/>
    </xf>
    <xf numFmtId="0" fontId="30" fillId="2" borderId="0" xfId="1" applyFont="1" applyFill="1"/>
    <xf numFmtId="10" fontId="22" fillId="2" borderId="0" xfId="1" applyNumberFormat="1" applyFont="1" applyFill="1" applyAlignment="1">
      <alignment wrapText="1"/>
    </xf>
    <xf numFmtId="0" fontId="22" fillId="2" borderId="0" xfId="1" applyFont="1" applyFill="1" applyAlignment="1">
      <alignment horizontal="right"/>
    </xf>
    <xf numFmtId="0" fontId="22" fillId="2" borderId="14" xfId="1" applyFont="1" applyFill="1" applyBorder="1" applyAlignment="1">
      <alignment horizontal="right"/>
    </xf>
    <xf numFmtId="0" fontId="18" fillId="0" borderId="0" xfId="0" applyFont="1"/>
    <xf numFmtId="0" fontId="30" fillId="7" borderId="0" xfId="1" applyFont="1" applyFill="1"/>
    <xf numFmtId="0" fontId="29" fillId="2" borderId="0" xfId="0" applyFont="1" applyFill="1"/>
    <xf numFmtId="0" fontId="29" fillId="2" borderId="0" xfId="0" applyFont="1" applyFill="1" applyAlignment="1">
      <alignment wrapText="1"/>
    </xf>
    <xf numFmtId="0" fontId="48" fillId="2" borderId="0" xfId="0" applyFont="1" applyFill="1"/>
    <xf numFmtId="0" fontId="52" fillId="2" borderId="0" xfId="0" applyFont="1" applyFill="1" applyAlignment="1">
      <alignment wrapText="1"/>
    </xf>
    <xf numFmtId="0" fontId="52" fillId="2" borderId="0" xfId="0" applyFont="1" applyFill="1"/>
    <xf numFmtId="0" fontId="49" fillId="2" borderId="0" xfId="0" applyFont="1" applyFill="1"/>
    <xf numFmtId="0" fontId="52" fillId="2" borderId="9" xfId="0" applyFont="1" applyFill="1" applyBorder="1"/>
    <xf numFmtId="0" fontId="52" fillId="2" borderId="0" xfId="0" applyFont="1" applyFill="1" applyAlignment="1">
      <alignment horizontal="center" wrapText="1"/>
    </xf>
    <xf numFmtId="0" fontId="18" fillId="2" borderId="0" xfId="0" applyFont="1" applyFill="1" applyAlignment="1">
      <alignment vertical="center"/>
    </xf>
    <xf numFmtId="0" fontId="22" fillId="2" borderId="0" xfId="0" applyFont="1" applyFill="1" applyAlignment="1">
      <alignment vertical="center"/>
    </xf>
    <xf numFmtId="0" fontId="53" fillId="2" borderId="0" xfId="0" applyFont="1" applyFill="1" applyAlignment="1">
      <alignment horizontal="center"/>
    </xf>
    <xf numFmtId="0" fontId="52" fillId="2" borderId="0" xfId="0" applyFont="1" applyFill="1" applyAlignment="1">
      <alignment vertical="center"/>
    </xf>
    <xf numFmtId="0" fontId="52" fillId="2" borderId="0" xfId="0" applyFont="1" applyFill="1" applyAlignment="1">
      <alignment horizontal="center" vertical="center" wrapText="1"/>
    </xf>
    <xf numFmtId="0" fontId="54" fillId="0" borderId="0" xfId="0" applyFont="1"/>
    <xf numFmtId="0" fontId="43" fillId="0" borderId="0" xfId="1" applyFont="1" applyAlignment="1">
      <alignment vertical="center"/>
    </xf>
    <xf numFmtId="0" fontId="56" fillId="2" borderId="0" xfId="0" applyFont="1" applyFill="1"/>
    <xf numFmtId="0" fontId="19" fillId="6" borderId="18" xfId="1" applyFill="1" applyBorder="1" applyAlignment="1" applyProtection="1">
      <alignment wrapText="1"/>
      <protection locked="0"/>
    </xf>
    <xf numFmtId="2" fontId="19" fillId="6" borderId="18" xfId="1" applyNumberFormat="1" applyFill="1" applyBorder="1" applyAlignment="1" applyProtection="1">
      <alignment wrapText="1"/>
      <protection locked="0"/>
    </xf>
    <xf numFmtId="0" fontId="19" fillId="6" borderId="18" xfId="1" applyFill="1" applyBorder="1"/>
    <xf numFmtId="0" fontId="25" fillId="6" borderId="18" xfId="1" applyFont="1" applyFill="1" applyBorder="1" applyAlignment="1">
      <alignment wrapText="1"/>
    </xf>
    <xf numFmtId="0" fontId="26" fillId="0" borderId="0" xfId="3" applyFill="1" applyBorder="1"/>
    <xf numFmtId="0" fontId="22" fillId="0" borderId="0" xfId="1" applyFont="1"/>
    <xf numFmtId="0" fontId="35" fillId="0" borderId="0" xfId="3" applyFont="1" applyFill="1" applyBorder="1"/>
    <xf numFmtId="0" fontId="35" fillId="0" borderId="0" xfId="3" applyFont="1"/>
    <xf numFmtId="0" fontId="35" fillId="0" borderId="0" xfId="3" applyFont="1" applyFill="1"/>
    <xf numFmtId="0" fontId="35" fillId="0" borderId="0" xfId="3" applyFont="1" applyBorder="1"/>
    <xf numFmtId="2" fontId="19" fillId="0" borderId="0" xfId="1" applyNumberFormat="1" applyProtection="1">
      <protection locked="0"/>
    </xf>
    <xf numFmtId="2" fontId="19" fillId="6" borderId="18" xfId="1" applyNumberFormat="1" applyFill="1" applyBorder="1" applyProtection="1">
      <protection locked="0"/>
    </xf>
    <xf numFmtId="0" fontId="22" fillId="0" borderId="0" xfId="1" applyFont="1" applyAlignment="1">
      <alignment horizontal="center" vertical="center" textRotation="255"/>
    </xf>
    <xf numFmtId="0" fontId="39" fillId="2" borderId="0" xfId="0" applyFont="1" applyFill="1"/>
    <xf numFmtId="0" fontId="23" fillId="2" borderId="33" xfId="0" applyFont="1" applyFill="1" applyBorder="1"/>
    <xf numFmtId="0" fontId="23" fillId="2" borderId="35" xfId="0" applyFont="1" applyFill="1" applyBorder="1"/>
    <xf numFmtId="0" fontId="24" fillId="0" borderId="0" xfId="0" applyFont="1"/>
    <xf numFmtId="2" fontId="24" fillId="0" borderId="0" xfId="0" applyNumberFormat="1" applyFont="1"/>
    <xf numFmtId="2" fontId="24" fillId="0" borderId="0" xfId="0" applyNumberFormat="1" applyFont="1" applyAlignment="1">
      <alignment wrapText="1"/>
    </xf>
    <xf numFmtId="0" fontId="61" fillId="2" borderId="0" xfId="0" applyFont="1" applyFill="1" applyAlignment="1">
      <alignment horizontal="center" wrapText="1"/>
    </xf>
    <xf numFmtId="0" fontId="23" fillId="2" borderId="0" xfId="0" applyFont="1" applyFill="1" applyAlignment="1">
      <alignment wrapText="1"/>
    </xf>
    <xf numFmtId="0" fontId="61" fillId="2" borderId="0" xfId="0" applyFont="1" applyFill="1" applyAlignment="1">
      <alignment wrapText="1"/>
    </xf>
    <xf numFmtId="0" fontId="61" fillId="2" borderId="9" xfId="0" applyFont="1" applyFill="1" applyBorder="1" applyAlignment="1">
      <alignment wrapText="1"/>
    </xf>
    <xf numFmtId="0" fontId="22" fillId="2" borderId="17" xfId="1" applyFont="1" applyFill="1" applyBorder="1" applyAlignment="1">
      <alignment horizontal="right"/>
    </xf>
    <xf numFmtId="0" fontId="23" fillId="2" borderId="5" xfId="0" applyFont="1" applyFill="1" applyBorder="1"/>
    <xf numFmtId="0" fontId="23" fillId="2" borderId="5" xfId="0" applyFont="1" applyFill="1" applyBorder="1" applyAlignment="1">
      <alignment wrapText="1"/>
    </xf>
    <xf numFmtId="0" fontId="23" fillId="2" borderId="8" xfId="0" applyFont="1" applyFill="1" applyBorder="1"/>
    <xf numFmtId="0" fontId="44" fillId="10" borderId="40" xfId="0" applyFont="1" applyFill="1" applyBorder="1"/>
    <xf numFmtId="0" fontId="29" fillId="10" borderId="41" xfId="0" applyFont="1" applyFill="1" applyBorder="1"/>
    <xf numFmtId="0" fontId="29" fillId="10" borderId="42" xfId="0" applyFont="1" applyFill="1" applyBorder="1"/>
    <xf numFmtId="0" fontId="45" fillId="11" borderId="49" xfId="0" applyFont="1" applyFill="1" applyBorder="1"/>
    <xf numFmtId="0" fontId="23" fillId="2" borderId="52" xfId="0" applyFont="1" applyFill="1" applyBorder="1"/>
    <xf numFmtId="0" fontId="23" fillId="2" borderId="53" xfId="0" applyFont="1" applyFill="1" applyBorder="1"/>
    <xf numFmtId="0" fontId="23" fillId="2" borderId="54" xfId="0" applyFont="1" applyFill="1" applyBorder="1"/>
    <xf numFmtId="0" fontId="23" fillId="2" borderId="55" xfId="0" applyFont="1" applyFill="1" applyBorder="1"/>
    <xf numFmtId="0" fontId="23" fillId="2" borderId="56" xfId="0" applyFont="1" applyFill="1" applyBorder="1"/>
    <xf numFmtId="0" fontId="29" fillId="11" borderId="50" xfId="0" applyFont="1" applyFill="1" applyBorder="1"/>
    <xf numFmtId="0" fontId="29" fillId="11" borderId="51" xfId="0" applyFont="1" applyFill="1" applyBorder="1"/>
    <xf numFmtId="0" fontId="45" fillId="12" borderId="57" xfId="0" applyFont="1" applyFill="1" applyBorder="1"/>
    <xf numFmtId="0" fontId="23" fillId="12" borderId="58" xfId="0" applyFont="1" applyFill="1" applyBorder="1"/>
    <xf numFmtId="0" fontId="23" fillId="12" borderId="59" xfId="0" applyFont="1" applyFill="1" applyBorder="1"/>
    <xf numFmtId="0" fontId="23" fillId="2" borderId="61" xfId="0" applyFont="1" applyFill="1" applyBorder="1"/>
    <xf numFmtId="0" fontId="23" fillId="2" borderId="63" xfId="0" applyFont="1" applyFill="1" applyBorder="1"/>
    <xf numFmtId="0" fontId="23" fillId="2" borderId="64" xfId="0" applyFont="1" applyFill="1" applyBorder="1"/>
    <xf numFmtId="10" fontId="23" fillId="12" borderId="0" xfId="1" applyNumberFormat="1" applyFont="1" applyFill="1"/>
    <xf numFmtId="1" fontId="23" fillId="12" borderId="14" xfId="1" applyNumberFormat="1" applyFont="1" applyFill="1" applyBorder="1"/>
    <xf numFmtId="0" fontId="23" fillId="2" borderId="60" xfId="0" applyFont="1" applyFill="1" applyBorder="1"/>
    <xf numFmtId="0" fontId="23" fillId="2" borderId="62" xfId="0" applyFont="1" applyFill="1" applyBorder="1"/>
    <xf numFmtId="0" fontId="31" fillId="12" borderId="0" xfId="1" applyFont="1" applyFill="1" applyAlignment="1">
      <alignment wrapText="1"/>
    </xf>
    <xf numFmtId="0" fontId="29" fillId="12" borderId="0" xfId="1" applyFont="1" applyFill="1"/>
    <xf numFmtId="0" fontId="23" fillId="12" borderId="0" xfId="1" applyFont="1" applyFill="1"/>
    <xf numFmtId="0" fontId="61" fillId="2" borderId="0" xfId="0" applyFont="1" applyFill="1" applyAlignment="1">
      <alignment vertical="center"/>
    </xf>
    <xf numFmtId="0" fontId="61" fillId="2" borderId="0" xfId="0" applyFont="1" applyFill="1" applyAlignment="1">
      <alignment vertical="center" wrapText="1"/>
    </xf>
    <xf numFmtId="0" fontId="45" fillId="13" borderId="65" xfId="0" applyFont="1" applyFill="1" applyBorder="1"/>
    <xf numFmtId="0" fontId="23" fillId="2" borderId="68" xfId="0" applyFont="1" applyFill="1" applyBorder="1"/>
    <xf numFmtId="0" fontId="23" fillId="2" borderId="69" xfId="0" applyFont="1" applyFill="1" applyBorder="1"/>
    <xf numFmtId="0" fontId="23" fillId="2" borderId="70" xfId="0" applyFont="1" applyFill="1" applyBorder="1"/>
    <xf numFmtId="0" fontId="23" fillId="2" borderId="71" xfId="0" applyFont="1" applyFill="1" applyBorder="1"/>
    <xf numFmtId="0" fontId="23" fillId="2" borderId="72" xfId="0" applyFont="1" applyFill="1" applyBorder="1"/>
    <xf numFmtId="0" fontId="23" fillId="13" borderId="66" xfId="0" applyFont="1" applyFill="1" applyBorder="1"/>
    <xf numFmtId="0" fontId="23" fillId="13" borderId="67" xfId="0" applyFont="1" applyFill="1" applyBorder="1"/>
    <xf numFmtId="0" fontId="23" fillId="13" borderId="0" xfId="1" applyFont="1" applyFill="1"/>
    <xf numFmtId="0" fontId="19" fillId="13" borderId="0" xfId="1" applyFill="1"/>
    <xf numFmtId="0" fontId="35" fillId="14" borderId="0" xfId="3" applyFont="1" applyFill="1" applyAlignment="1" applyProtection="1">
      <alignment wrapText="1"/>
    </xf>
    <xf numFmtId="0" fontId="45" fillId="2" borderId="73" xfId="0" applyFont="1" applyFill="1" applyBorder="1"/>
    <xf numFmtId="0" fontId="23" fillId="2" borderId="74" xfId="0" applyFont="1" applyFill="1" applyBorder="1"/>
    <xf numFmtId="0" fontId="23" fillId="2" borderId="75" xfId="0" applyFont="1" applyFill="1" applyBorder="1"/>
    <xf numFmtId="0" fontId="29" fillId="2" borderId="33" xfId="0" applyFont="1" applyFill="1" applyBorder="1"/>
    <xf numFmtId="0" fontId="29" fillId="2" borderId="34" xfId="0" applyFont="1" applyFill="1" applyBorder="1"/>
    <xf numFmtId="0" fontId="29" fillId="2" borderId="36" xfId="0" applyFont="1" applyFill="1" applyBorder="1"/>
    <xf numFmtId="0" fontId="29" fillId="2" borderId="37" xfId="0" applyFont="1" applyFill="1" applyBorder="1"/>
    <xf numFmtId="0" fontId="20" fillId="13" borderId="15" xfId="1" applyFont="1" applyFill="1" applyBorder="1"/>
    <xf numFmtId="0" fontId="44" fillId="2" borderId="79" xfId="0" applyFont="1" applyFill="1" applyBorder="1"/>
    <xf numFmtId="0" fontId="39" fillId="2" borderId="79" xfId="0" applyFont="1" applyFill="1" applyBorder="1"/>
    <xf numFmtId="0" fontId="23" fillId="2" borderId="79" xfId="0" applyFont="1" applyFill="1" applyBorder="1"/>
    <xf numFmtId="0" fontId="44" fillId="16" borderId="76" xfId="0" applyFont="1" applyFill="1" applyBorder="1"/>
    <xf numFmtId="0" fontId="29" fillId="16" borderId="76" xfId="0" applyFont="1" applyFill="1" applyBorder="1"/>
    <xf numFmtId="0" fontId="29" fillId="16" borderId="77" xfId="0" applyFont="1" applyFill="1" applyBorder="1"/>
    <xf numFmtId="0" fontId="29" fillId="16" borderId="77" xfId="0" applyFont="1" applyFill="1" applyBorder="1" applyAlignment="1">
      <alignment wrapText="1"/>
    </xf>
    <xf numFmtId="0" fontId="48" fillId="16" borderId="77" xfId="0" applyFont="1" applyFill="1" applyBorder="1"/>
    <xf numFmtId="0" fontId="29" fillId="16" borderId="79" xfId="0" applyFont="1" applyFill="1" applyBorder="1"/>
    <xf numFmtId="0" fontId="29" fillId="16" borderId="81" xfId="0" applyFont="1" applyFill="1" applyBorder="1"/>
    <xf numFmtId="0" fontId="29" fillId="16" borderId="82" xfId="0" applyFont="1" applyFill="1" applyBorder="1"/>
    <xf numFmtId="0" fontId="29" fillId="16" borderId="82" xfId="0" applyFont="1" applyFill="1" applyBorder="1" applyAlignment="1">
      <alignment wrapText="1"/>
    </xf>
    <xf numFmtId="0" fontId="51" fillId="16" borderId="82" xfId="0" applyFont="1" applyFill="1" applyBorder="1"/>
    <xf numFmtId="0" fontId="23" fillId="16" borderId="76" xfId="0" applyFont="1" applyFill="1" applyBorder="1"/>
    <xf numFmtId="0" fontId="23" fillId="16" borderId="77" xfId="0" applyFont="1" applyFill="1" applyBorder="1"/>
    <xf numFmtId="0" fontId="23" fillId="16" borderId="77" xfId="0" applyFont="1" applyFill="1" applyBorder="1" applyAlignment="1">
      <alignment wrapText="1"/>
    </xf>
    <xf numFmtId="0" fontId="61" fillId="16" borderId="77" xfId="0" applyFont="1" applyFill="1" applyBorder="1"/>
    <xf numFmtId="0" fontId="23" fillId="16" borderId="79" xfId="0" applyFont="1" applyFill="1" applyBorder="1"/>
    <xf numFmtId="0" fontId="23" fillId="16" borderId="87" xfId="0" applyFont="1" applyFill="1" applyBorder="1"/>
    <xf numFmtId="0" fontId="23" fillId="16" borderId="81" xfId="0" applyFont="1" applyFill="1" applyBorder="1"/>
    <xf numFmtId="0" fontId="23" fillId="16" borderId="82" xfId="0" applyFont="1" applyFill="1" applyBorder="1"/>
    <xf numFmtId="0" fontId="23" fillId="16" borderId="82" xfId="0" applyFont="1" applyFill="1" applyBorder="1" applyAlignment="1">
      <alignment wrapText="1"/>
    </xf>
    <xf numFmtId="0" fontId="62" fillId="16" borderId="82" xfId="0" applyFont="1" applyFill="1" applyBorder="1"/>
    <xf numFmtId="0" fontId="23" fillId="16" borderId="0" xfId="1" applyFont="1" applyFill="1"/>
    <xf numFmtId="0" fontId="29" fillId="16" borderId="0" xfId="1" applyFont="1" applyFill="1"/>
    <xf numFmtId="0" fontId="23" fillId="5" borderId="79" xfId="0" applyFont="1" applyFill="1" applyBorder="1"/>
    <xf numFmtId="0" fontId="23" fillId="5" borderId="0" xfId="0" applyFont="1" applyFill="1"/>
    <xf numFmtId="0" fontId="55" fillId="2" borderId="0" xfId="1" applyFont="1" applyFill="1" applyAlignment="1">
      <alignment vertical="center"/>
    </xf>
    <xf numFmtId="0" fontId="43" fillId="2" borderId="0" xfId="0" applyFont="1" applyFill="1" applyAlignment="1">
      <alignment horizontal="left" vertical="top"/>
    </xf>
    <xf numFmtId="0" fontId="28" fillId="0" borderId="0" xfId="1" applyFont="1"/>
    <xf numFmtId="0" fontId="28" fillId="2" borderId="10" xfId="1" applyFont="1" applyFill="1" applyBorder="1"/>
    <xf numFmtId="0" fontId="23" fillId="2" borderId="11" xfId="1" applyFont="1" applyFill="1" applyBorder="1"/>
    <xf numFmtId="0" fontId="23" fillId="2" borderId="12" xfId="1" applyFont="1" applyFill="1" applyBorder="1"/>
    <xf numFmtId="0" fontId="25" fillId="2" borderId="0" xfId="1" applyFont="1" applyFill="1" applyAlignment="1">
      <alignment wrapText="1"/>
    </xf>
    <xf numFmtId="0" fontId="35" fillId="2" borderId="0" xfId="3" applyFont="1" applyFill="1"/>
    <xf numFmtId="0" fontId="35" fillId="2" borderId="0" xfId="3" applyFont="1" applyFill="1" applyAlignment="1" applyProtection="1">
      <alignment wrapText="1"/>
    </xf>
    <xf numFmtId="0" fontId="35" fillId="2" borderId="0" xfId="3" applyFont="1" applyFill="1" applyBorder="1"/>
    <xf numFmtId="0" fontId="19" fillId="2" borderId="21" xfId="1" applyFill="1" applyBorder="1"/>
    <xf numFmtId="0" fontId="28" fillId="13" borderId="20" xfId="1" applyFont="1" applyFill="1" applyBorder="1"/>
    <xf numFmtId="2" fontId="28" fillId="13" borderId="22" xfId="1" applyNumberFormat="1" applyFont="1" applyFill="1" applyBorder="1"/>
    <xf numFmtId="0" fontId="23" fillId="2" borderId="0" xfId="1" applyFont="1" applyFill="1" applyAlignment="1">
      <alignment vertical="center"/>
    </xf>
    <xf numFmtId="0" fontId="61" fillId="2" borderId="0" xfId="0" applyFont="1" applyFill="1"/>
    <xf numFmtId="2" fontId="19" fillId="13" borderId="17" xfId="1" applyNumberFormat="1" applyFill="1" applyBorder="1"/>
    <xf numFmtId="0" fontId="19" fillId="0" borderId="32" xfId="1" applyBorder="1" applyProtection="1">
      <protection locked="0"/>
    </xf>
    <xf numFmtId="2" fontId="19" fillId="0" borderId="32" xfId="1" applyNumberFormat="1" applyBorder="1" applyProtection="1">
      <protection locked="0"/>
    </xf>
    <xf numFmtId="0" fontId="22" fillId="0" borderId="32" xfId="1" applyFont="1" applyBorder="1"/>
    <xf numFmtId="0" fontId="22" fillId="0" borderId="0" xfId="1" applyFont="1" applyAlignment="1">
      <alignment vertical="center" textRotation="255"/>
    </xf>
    <xf numFmtId="0" fontId="22" fillId="10" borderId="31" xfId="0" applyFont="1" applyFill="1" applyBorder="1" applyAlignment="1">
      <alignment horizontal="center" vertical="center" wrapText="1"/>
    </xf>
    <xf numFmtId="0" fontId="33" fillId="2" borderId="0" xfId="0" applyFont="1" applyFill="1" applyAlignment="1">
      <alignment horizontal="right"/>
    </xf>
    <xf numFmtId="0" fontId="23" fillId="2" borderId="93" xfId="1" applyFont="1" applyFill="1" applyBorder="1"/>
    <xf numFmtId="0" fontId="23" fillId="0" borderId="32" xfId="1" applyFont="1" applyBorder="1"/>
    <xf numFmtId="0" fontId="23" fillId="15" borderId="38" xfId="1" applyFont="1" applyFill="1" applyBorder="1"/>
    <xf numFmtId="0" fontId="72" fillId="2" borderId="0" xfId="0" applyFont="1" applyFill="1" applyAlignment="1">
      <alignment wrapText="1"/>
    </xf>
    <xf numFmtId="0" fontId="73" fillId="2" borderId="20" xfId="0" applyFont="1" applyFill="1" applyBorder="1" applyAlignment="1">
      <alignment vertical="center" wrapText="1"/>
    </xf>
    <xf numFmtId="0" fontId="23" fillId="5" borderId="43" xfId="0" applyFont="1" applyFill="1" applyBorder="1"/>
    <xf numFmtId="0" fontId="23" fillId="2" borderId="0" xfId="0" applyFont="1" applyFill="1" applyAlignment="1">
      <alignment horizontal="right" vertical="center" wrapText="1"/>
    </xf>
    <xf numFmtId="9" fontId="23" fillId="2" borderId="0" xfId="7" applyFont="1" applyFill="1" applyAlignment="1">
      <alignment horizontal="center" vertical="center"/>
    </xf>
    <xf numFmtId="0" fontId="74" fillId="0" borderId="32" xfId="1" applyFont="1" applyBorder="1"/>
    <xf numFmtId="0" fontId="23" fillId="15" borderId="32" xfId="1" applyFont="1" applyFill="1" applyBorder="1"/>
    <xf numFmtId="0" fontId="23" fillId="9" borderId="32" xfId="1" applyFont="1" applyFill="1" applyBorder="1"/>
    <xf numFmtId="0" fontId="23" fillId="16" borderId="0" xfId="0" applyFont="1" applyFill="1"/>
    <xf numFmtId="0" fontId="28" fillId="2" borderId="0" xfId="0" applyFont="1" applyFill="1" applyAlignment="1">
      <alignment vertical="center"/>
    </xf>
    <xf numFmtId="0" fontId="23" fillId="2" borderId="0" xfId="0" applyFont="1" applyFill="1" applyAlignment="1">
      <alignment horizontal="center"/>
    </xf>
    <xf numFmtId="0" fontId="23" fillId="2" borderId="0" xfId="0" applyFont="1" applyFill="1" applyAlignment="1">
      <alignment vertical="center"/>
    </xf>
    <xf numFmtId="0" fontId="61" fillId="2" borderId="96" xfId="1" applyFont="1" applyFill="1" applyBorder="1"/>
    <xf numFmtId="0" fontId="22" fillId="0" borderId="22" xfId="0" applyFont="1" applyBorder="1" applyAlignment="1">
      <alignment vertical="center" wrapText="1"/>
    </xf>
    <xf numFmtId="0" fontId="71" fillId="10" borderId="24" xfId="0" applyFont="1" applyFill="1" applyBorder="1" applyAlignment="1">
      <alignment vertical="center" wrapText="1"/>
    </xf>
    <xf numFmtId="0" fontId="22" fillId="10" borderId="24" xfId="0" applyFont="1" applyFill="1" applyBorder="1" applyAlignment="1">
      <alignment vertical="center" wrapText="1"/>
    </xf>
    <xf numFmtId="0" fontId="75" fillId="2" borderId="16" xfId="1" applyFont="1" applyFill="1" applyBorder="1" applyAlignment="1">
      <alignment vertical="center" textRotation="90"/>
    </xf>
    <xf numFmtId="0" fontId="34" fillId="2" borderId="16" xfId="1" applyFont="1" applyFill="1" applyBorder="1" applyAlignment="1">
      <alignment vertical="center" textRotation="90" wrapText="1"/>
    </xf>
    <xf numFmtId="0" fontId="75" fillId="2" borderId="16" xfId="1" applyFont="1" applyFill="1" applyBorder="1" applyAlignment="1">
      <alignment horizontal="center" vertical="center" textRotation="90"/>
    </xf>
    <xf numFmtId="0" fontId="22" fillId="2" borderId="21" xfId="1" applyFont="1" applyFill="1" applyBorder="1"/>
    <xf numFmtId="0" fontId="24" fillId="2" borderId="2" xfId="0" applyFont="1" applyFill="1" applyBorder="1" applyAlignment="1">
      <alignment vertical="center"/>
    </xf>
    <xf numFmtId="0" fontId="24" fillId="10" borderId="20" xfId="0" applyFont="1" applyFill="1" applyBorder="1" applyAlignment="1">
      <alignment vertical="center" wrapText="1"/>
    </xf>
    <xf numFmtId="0" fontId="24" fillId="10" borderId="22" xfId="0" applyFont="1" applyFill="1" applyBorder="1" applyAlignment="1">
      <alignment vertical="center" wrapText="1"/>
    </xf>
    <xf numFmtId="0" fontId="22" fillId="2" borderId="24" xfId="0" applyFont="1" applyFill="1" applyBorder="1" applyAlignment="1">
      <alignment horizontal="center" vertical="center"/>
    </xf>
    <xf numFmtId="0" fontId="76" fillId="2" borderId="0" xfId="0" applyFont="1" applyFill="1" applyAlignment="1">
      <alignment wrapText="1"/>
    </xf>
    <xf numFmtId="0" fontId="34" fillId="2" borderId="16" xfId="1" applyFont="1" applyFill="1" applyBorder="1"/>
    <xf numFmtId="0" fontId="34" fillId="2" borderId="13" xfId="1" applyFont="1" applyFill="1" applyBorder="1" applyAlignment="1">
      <alignment vertical="center" textRotation="90" wrapText="1"/>
    </xf>
    <xf numFmtId="0" fontId="34" fillId="2" borderId="10" xfId="1" applyFont="1" applyFill="1" applyBorder="1"/>
    <xf numFmtId="0" fontId="61" fillId="2" borderId="0" xfId="0" applyFont="1" applyFill="1" applyAlignment="1">
      <alignment horizontal="left" vertical="center" wrapText="1"/>
    </xf>
    <xf numFmtId="0" fontId="61" fillId="2" borderId="9" xfId="0" applyFont="1" applyFill="1" applyBorder="1" applyAlignment="1">
      <alignment horizontal="center" vertical="center" wrapText="1"/>
    </xf>
    <xf numFmtId="0" fontId="61" fillId="2" borderId="0" xfId="0" applyFont="1" applyFill="1" applyAlignment="1">
      <alignment horizontal="left" wrapText="1"/>
    </xf>
    <xf numFmtId="0" fontId="61" fillId="2" borderId="9" xfId="0" applyFont="1" applyFill="1" applyBorder="1" applyAlignment="1">
      <alignment horizontal="center" wrapText="1"/>
    </xf>
    <xf numFmtId="0" fontId="18" fillId="2" borderId="0" xfId="0" applyFont="1" applyFill="1" applyAlignment="1">
      <alignment vertical="top"/>
    </xf>
    <xf numFmtId="0" fontId="43" fillId="2" borderId="0" xfId="0" applyFont="1" applyFill="1" applyAlignment="1">
      <alignment horizontal="left" vertical="top" wrapText="1"/>
    </xf>
    <xf numFmtId="0" fontId="45" fillId="12" borderId="102" xfId="0" applyFont="1" applyFill="1" applyBorder="1" applyAlignment="1">
      <alignment vertical="top"/>
    </xf>
    <xf numFmtId="0" fontId="22" fillId="2" borderId="0" xfId="0" applyFont="1" applyFill="1" applyAlignment="1">
      <alignment horizontal="right" vertical="center" wrapText="1"/>
    </xf>
    <xf numFmtId="1" fontId="22" fillId="4" borderId="0" xfId="0" applyNumberFormat="1" applyFont="1" applyFill="1" applyAlignment="1">
      <alignment horizontal="center"/>
    </xf>
    <xf numFmtId="0" fontId="53" fillId="2" borderId="0" xfId="0" applyFont="1" applyFill="1"/>
    <xf numFmtId="0" fontId="73" fillId="2" borderId="0" xfId="0" applyFont="1" applyFill="1" applyAlignment="1">
      <alignment vertical="center" wrapText="1"/>
    </xf>
    <xf numFmtId="0" fontId="73" fillId="2" borderId="22" xfId="0" applyFont="1" applyFill="1" applyBorder="1" applyAlignment="1">
      <alignment vertical="center" wrapText="1"/>
    </xf>
    <xf numFmtId="0" fontId="24" fillId="2" borderId="2" xfId="0" applyFont="1" applyFill="1" applyBorder="1" applyAlignment="1" applyProtection="1">
      <alignment vertical="center"/>
      <protection locked="0"/>
    </xf>
    <xf numFmtId="1" fontId="22" fillId="10" borderId="24" xfId="0" applyNumberFormat="1" applyFont="1" applyFill="1" applyBorder="1" applyAlignment="1">
      <alignment horizontal="center" vertical="center" wrapText="1"/>
    </xf>
    <xf numFmtId="0" fontId="22" fillId="10" borderId="21" xfId="0" applyFont="1" applyFill="1" applyBorder="1" applyAlignment="1">
      <alignment vertical="center"/>
    </xf>
    <xf numFmtId="0" fontId="22" fillId="10" borderId="22" xfId="0" applyFont="1" applyFill="1" applyBorder="1" applyAlignment="1">
      <alignment vertical="center"/>
    </xf>
    <xf numFmtId="0" fontId="22" fillId="10" borderId="7" xfId="0" applyFont="1" applyFill="1" applyBorder="1" applyAlignment="1">
      <alignment vertical="center"/>
    </xf>
    <xf numFmtId="0" fontId="22" fillId="10" borderId="8" xfId="0" applyFont="1" applyFill="1" applyBorder="1" applyAlignment="1">
      <alignment vertical="center"/>
    </xf>
    <xf numFmtId="0" fontId="22" fillId="2" borderId="21" xfId="0" applyFont="1" applyFill="1" applyBorder="1" applyAlignment="1">
      <alignment horizontal="center" vertical="center" wrapText="1"/>
    </xf>
    <xf numFmtId="0" fontId="22" fillId="2" borderId="5" xfId="0" applyFont="1" applyFill="1" applyBorder="1" applyAlignment="1">
      <alignment horizontal="center" vertical="center" wrapText="1"/>
    </xf>
    <xf numFmtId="0" fontId="22" fillId="2" borderId="21" xfId="0" applyFont="1" applyFill="1" applyBorder="1" applyAlignment="1">
      <alignment vertical="center" wrapText="1"/>
    </xf>
    <xf numFmtId="0" fontId="71" fillId="2" borderId="21" xfId="0" applyFont="1" applyFill="1" applyBorder="1" applyAlignment="1">
      <alignment vertical="center" wrapText="1"/>
    </xf>
    <xf numFmtId="0" fontId="22" fillId="2" borderId="0" xfId="0" applyFont="1" applyFill="1" applyAlignment="1">
      <alignment horizontal="center" vertical="center" wrapText="1"/>
    </xf>
    <xf numFmtId="0" fontId="22" fillId="2" borderId="4" xfId="0" applyFont="1" applyFill="1" applyBorder="1" applyAlignment="1">
      <alignment horizontal="center" vertical="center" wrapText="1"/>
    </xf>
    <xf numFmtId="0" fontId="22" fillId="2" borderId="22" xfId="0" applyFont="1" applyFill="1" applyBorder="1" applyAlignment="1">
      <alignment horizontal="center" vertical="center"/>
    </xf>
    <xf numFmtId="0" fontId="22" fillId="0" borderId="121" xfId="0" applyFont="1" applyBorder="1" applyAlignment="1">
      <alignment vertical="center" wrapText="1"/>
    </xf>
    <xf numFmtId="0" fontId="73" fillId="0" borderId="120" xfId="0" applyFont="1" applyBorder="1" applyAlignment="1">
      <alignment vertical="center"/>
    </xf>
    <xf numFmtId="0" fontId="73" fillId="2" borderId="20" xfId="0" applyFont="1" applyFill="1" applyBorder="1" applyAlignment="1" applyProtection="1">
      <alignment vertical="center"/>
      <protection locked="0"/>
    </xf>
    <xf numFmtId="0" fontId="20" fillId="2" borderId="21" xfId="0" applyFont="1" applyFill="1" applyBorder="1" applyAlignment="1">
      <alignment vertical="center"/>
    </xf>
    <xf numFmtId="0" fontId="20" fillId="10" borderId="20" xfId="0" applyFont="1" applyFill="1" applyBorder="1" applyAlignment="1">
      <alignment vertical="center"/>
    </xf>
    <xf numFmtId="0" fontId="22" fillId="10" borderId="3" xfId="0" applyFont="1" applyFill="1" applyBorder="1" applyAlignment="1">
      <alignment horizontal="center" vertical="center" wrapText="1"/>
    </xf>
    <xf numFmtId="0" fontId="22" fillId="10" borderId="30" xfId="0" applyFont="1" applyFill="1" applyBorder="1" applyAlignment="1">
      <alignment horizontal="center" vertical="center" wrapText="1"/>
    </xf>
    <xf numFmtId="0" fontId="22" fillId="10" borderId="25" xfId="0" applyFont="1" applyFill="1" applyBorder="1" applyAlignment="1">
      <alignment horizontal="center" vertical="center" wrapText="1"/>
    </xf>
    <xf numFmtId="0" fontId="22" fillId="10" borderId="31" xfId="0" applyFont="1" applyFill="1" applyBorder="1" applyAlignment="1">
      <alignment horizontal="left" vertical="center" wrapText="1"/>
    </xf>
    <xf numFmtId="0" fontId="22" fillId="10" borderId="5" xfId="0" applyFont="1" applyFill="1" applyBorder="1" applyAlignment="1">
      <alignment horizontal="left" vertical="center" wrapText="1"/>
    </xf>
    <xf numFmtId="0" fontId="22" fillId="10" borderId="20" xfId="0" applyFont="1" applyFill="1" applyBorder="1" applyAlignment="1">
      <alignment vertical="center" wrapText="1"/>
    </xf>
    <xf numFmtId="0" fontId="22" fillId="10" borderId="20" xfId="0" applyFont="1" applyFill="1" applyBorder="1" applyAlignment="1">
      <alignment horizontal="center" vertical="center" wrapText="1"/>
    </xf>
    <xf numFmtId="0" fontId="22" fillId="10" borderId="25" xfId="0" applyFont="1" applyFill="1" applyBorder="1" applyAlignment="1">
      <alignment horizontal="center" wrapText="1"/>
    </xf>
    <xf numFmtId="0" fontId="23" fillId="2" borderId="0" xfId="0" applyFont="1" applyFill="1" applyAlignment="1">
      <alignment vertical="top"/>
    </xf>
    <xf numFmtId="0" fontId="22" fillId="2" borderId="0" xfId="0" applyFont="1" applyFill="1" applyAlignment="1">
      <alignment horizontal="right"/>
    </xf>
    <xf numFmtId="169" fontId="22" fillId="12" borderId="24" xfId="0" applyNumberFormat="1" applyFont="1" applyFill="1" applyBorder="1"/>
    <xf numFmtId="0" fontId="43" fillId="2" borderId="0" xfId="1" applyFont="1" applyFill="1" applyAlignment="1">
      <alignment vertical="center"/>
    </xf>
    <xf numFmtId="169" fontId="28" fillId="12" borderId="24" xfId="4" applyNumberFormat="1" applyFont="1" applyFill="1" applyBorder="1" applyProtection="1"/>
    <xf numFmtId="0" fontId="72" fillId="2" borderId="0" xfId="0" applyFont="1" applyFill="1" applyAlignment="1">
      <alignment horizontal="left"/>
    </xf>
    <xf numFmtId="0" fontId="28" fillId="2" borderId="1" xfId="0" applyFont="1" applyFill="1" applyBorder="1" applyAlignment="1">
      <alignment horizontal="right"/>
    </xf>
    <xf numFmtId="0" fontId="22" fillId="2" borderId="4" xfId="0" applyFont="1" applyFill="1" applyBorder="1" applyAlignment="1">
      <alignment horizontal="right"/>
    </xf>
    <xf numFmtId="0" fontId="23" fillId="2" borderId="1" xfId="0" applyFont="1" applyFill="1" applyBorder="1"/>
    <xf numFmtId="0" fontId="73" fillId="2" borderId="0" xfId="0" applyFont="1" applyFill="1"/>
    <xf numFmtId="0" fontId="23" fillId="2" borderId="4" xfId="0" applyFont="1" applyFill="1" applyBorder="1"/>
    <xf numFmtId="0" fontId="28" fillId="2" borderId="4" xfId="0" applyFont="1" applyFill="1" applyBorder="1" applyAlignment="1">
      <alignment horizontal="right"/>
    </xf>
    <xf numFmtId="169" fontId="22" fillId="12" borderId="3" xfId="0" applyNumberFormat="1" applyFont="1" applyFill="1" applyBorder="1"/>
    <xf numFmtId="169" fontId="22" fillId="12" borderId="5" xfId="0" applyNumberFormat="1" applyFont="1" applyFill="1" applyBorder="1"/>
    <xf numFmtId="0" fontId="72" fillId="2" borderId="0" xfId="0" applyFont="1" applyFill="1"/>
    <xf numFmtId="0" fontId="43" fillId="2" borderId="0" xfId="0" applyFont="1" applyFill="1" applyAlignment="1">
      <alignment horizontal="left" vertical="center"/>
    </xf>
    <xf numFmtId="0" fontId="42" fillId="2" borderId="0" xfId="0" applyFont="1" applyFill="1" applyAlignment="1">
      <alignment horizontal="left" vertical="center"/>
    </xf>
    <xf numFmtId="0" fontId="60" fillId="2" borderId="0" xfId="0" applyFont="1" applyFill="1" applyAlignment="1">
      <alignment horizontal="left" vertical="center"/>
    </xf>
    <xf numFmtId="0" fontId="48" fillId="16" borderId="82" xfId="0" applyFont="1" applyFill="1" applyBorder="1" applyAlignment="1">
      <alignment horizontal="left" vertical="center" wrapText="1"/>
    </xf>
    <xf numFmtId="0" fontId="61" fillId="2" borderId="0" xfId="0" applyFont="1" applyFill="1" applyAlignment="1">
      <alignment horizontal="left" vertical="center"/>
    </xf>
    <xf numFmtId="0" fontId="61" fillId="16" borderId="82" xfId="0" applyFont="1" applyFill="1" applyBorder="1" applyAlignment="1">
      <alignment horizontal="left" vertical="center"/>
    </xf>
    <xf numFmtId="0" fontId="68" fillId="2" borderId="0" xfId="0" applyFont="1" applyFill="1" applyAlignment="1">
      <alignment horizontal="left" vertical="center"/>
    </xf>
    <xf numFmtId="0" fontId="61" fillId="2" borderId="9" xfId="0" applyFont="1" applyFill="1" applyBorder="1" applyAlignment="1">
      <alignment horizontal="left" vertical="center" wrapText="1"/>
    </xf>
    <xf numFmtId="0" fontId="62" fillId="16" borderId="82" xfId="0" applyFont="1" applyFill="1" applyBorder="1" applyAlignment="1">
      <alignment horizontal="left" vertical="center"/>
    </xf>
    <xf numFmtId="0" fontId="22" fillId="2" borderId="0" xfId="0" applyFont="1" applyFill="1" applyAlignment="1">
      <alignment vertical="top"/>
    </xf>
    <xf numFmtId="0" fontId="23" fillId="2" borderId="0" xfId="0" applyFont="1" applyFill="1" applyAlignment="1">
      <alignment horizontal="left" vertical="top" wrapText="1" indent="2"/>
    </xf>
    <xf numFmtId="0" fontId="23" fillId="2" borderId="0" xfId="0" applyFont="1" applyFill="1" applyAlignment="1">
      <alignment horizontal="right"/>
    </xf>
    <xf numFmtId="9" fontId="23" fillId="2" borderId="0" xfId="7" applyFont="1" applyFill="1" applyAlignment="1">
      <alignment horizontal="left" vertical="center"/>
    </xf>
    <xf numFmtId="0" fontId="17" fillId="2" borderId="0" xfId="0" applyFont="1" applyFill="1"/>
    <xf numFmtId="0" fontId="47" fillId="2" borderId="0" xfId="3" applyFont="1" applyFill="1" applyBorder="1" applyAlignment="1" applyProtection="1">
      <alignment vertical="center" wrapText="1"/>
    </xf>
    <xf numFmtId="0" fontId="62" fillId="2" borderId="0" xfId="0" applyFont="1" applyFill="1" applyAlignment="1">
      <alignment wrapText="1"/>
    </xf>
    <xf numFmtId="0" fontId="43" fillId="2" borderId="0" xfId="0" applyFont="1" applyFill="1" applyAlignment="1">
      <alignment vertical="center" wrapText="1"/>
    </xf>
    <xf numFmtId="0" fontId="60" fillId="2" borderId="0" xfId="0" applyFont="1" applyFill="1" applyAlignment="1">
      <alignment horizontal="center" wrapText="1"/>
    </xf>
    <xf numFmtId="0" fontId="63" fillId="16" borderId="78" xfId="0" applyFont="1" applyFill="1" applyBorder="1" applyAlignment="1">
      <alignment horizontal="left" vertical="center" wrapText="1"/>
    </xf>
    <xf numFmtId="0" fontId="22" fillId="2" borderId="0" xfId="0" applyFont="1" applyFill="1" applyAlignment="1">
      <alignment wrapText="1"/>
    </xf>
    <xf numFmtId="0" fontId="22" fillId="2" borderId="0" xfId="0" applyFont="1" applyFill="1" applyAlignment="1">
      <alignment horizontal="center"/>
    </xf>
    <xf numFmtId="0" fontId="17" fillId="0" borderId="0" xfId="0" applyFont="1"/>
    <xf numFmtId="0" fontId="63" fillId="16" borderId="86" xfId="0" applyFont="1" applyFill="1" applyBorder="1" applyAlignment="1">
      <alignment horizontal="left" vertical="center" wrapText="1"/>
    </xf>
    <xf numFmtId="0" fontId="61" fillId="2" borderId="0" xfId="0" applyFont="1" applyFill="1" applyAlignment="1">
      <alignment horizontal="left" vertical="center" wrapText="1" indent="1"/>
    </xf>
    <xf numFmtId="0" fontId="26" fillId="2" borderId="0" xfId="3" applyFill="1" applyBorder="1" applyAlignment="1" applyProtection="1">
      <alignment horizontal="left" vertical="center" wrapText="1" indent="1"/>
    </xf>
    <xf numFmtId="0" fontId="61" fillId="2" borderId="14" xfId="0" applyFont="1" applyFill="1" applyBorder="1" applyAlignment="1">
      <alignment vertical="center" wrapText="1"/>
    </xf>
    <xf numFmtId="0" fontId="22" fillId="0" borderId="0" xfId="0" applyFont="1"/>
    <xf numFmtId="0" fontId="68" fillId="16" borderId="77" xfId="0" applyFont="1" applyFill="1" applyBorder="1" applyAlignment="1">
      <alignment vertical="center"/>
    </xf>
    <xf numFmtId="0" fontId="61" fillId="2" borderId="9" xfId="0" applyFont="1" applyFill="1" applyBorder="1" applyAlignment="1">
      <alignment vertical="center" wrapText="1"/>
    </xf>
    <xf numFmtId="0" fontId="22" fillId="2" borderId="0" xfId="0" applyFont="1" applyFill="1" applyAlignment="1">
      <alignment horizontal="center" wrapText="1"/>
    </xf>
    <xf numFmtId="0" fontId="33" fillId="3" borderId="19" xfId="0" applyFont="1" applyFill="1" applyBorder="1" applyProtection="1">
      <protection locked="0"/>
    </xf>
    <xf numFmtId="0" fontId="33" fillId="16" borderId="0" xfId="0" applyFont="1" applyFill="1" applyAlignment="1">
      <alignment horizontal="left" vertical="center"/>
    </xf>
    <xf numFmtId="0" fontId="33" fillId="3" borderId="16" xfId="0" applyFont="1" applyFill="1" applyBorder="1" applyAlignment="1" applyProtection="1">
      <alignment horizontal="center" vertical="center"/>
      <protection locked="0"/>
    </xf>
    <xf numFmtId="0" fontId="33" fillId="2" borderId="0" xfId="0" applyFont="1" applyFill="1" applyAlignment="1">
      <alignment horizontal="left" vertical="center"/>
    </xf>
    <xf numFmtId="0" fontId="43" fillId="2" borderId="123" xfId="0" applyFont="1" applyFill="1" applyBorder="1"/>
    <xf numFmtId="0" fontId="22" fillId="8" borderId="131" xfId="0" applyFont="1" applyFill="1" applyBorder="1" applyAlignment="1">
      <alignment horizontal="left" vertical="center" indent="1"/>
    </xf>
    <xf numFmtId="0" fontId="22" fillId="10" borderId="131" xfId="0" applyFont="1" applyFill="1" applyBorder="1" applyAlignment="1">
      <alignment horizontal="left" vertical="center" indent="1"/>
    </xf>
    <xf numFmtId="0" fontId="22" fillId="12" borderId="131" xfId="0" applyFont="1" applyFill="1" applyBorder="1" applyAlignment="1">
      <alignment horizontal="left" indent="1"/>
    </xf>
    <xf numFmtId="0" fontId="22" fillId="14" borderId="131" xfId="0" applyFont="1" applyFill="1" applyBorder="1" applyAlignment="1">
      <alignment horizontal="left" indent="1"/>
    </xf>
    <xf numFmtId="0" fontId="22" fillId="11" borderId="131" xfId="0" applyFont="1" applyFill="1" applyBorder="1" applyAlignment="1">
      <alignment horizontal="left" wrapText="1" indent="1"/>
    </xf>
    <xf numFmtId="0" fontId="22" fillId="13" borderId="131" xfId="0" applyFont="1" applyFill="1" applyBorder="1" applyAlignment="1">
      <alignment horizontal="left" wrapText="1" indent="1"/>
    </xf>
    <xf numFmtId="0" fontId="22" fillId="0" borderId="0" xfId="0" applyFont="1" applyAlignment="1">
      <alignment horizontal="left"/>
    </xf>
    <xf numFmtId="0" fontId="22" fillId="2" borderId="131" xfId="0" applyFont="1" applyFill="1" applyBorder="1" applyAlignment="1">
      <alignment horizontal="left" wrapText="1" indent="1"/>
    </xf>
    <xf numFmtId="0" fontId="33" fillId="2" borderId="133" xfId="0" quotePrefix="1" applyFont="1" applyFill="1" applyBorder="1" applyAlignment="1">
      <alignment horizontal="left" wrapText="1" indent="1"/>
    </xf>
    <xf numFmtId="0" fontId="23" fillId="12" borderId="0" xfId="0" applyFont="1" applyFill="1" applyAlignment="1">
      <alignment horizontal="left" vertical="top" wrapText="1" indent="2"/>
    </xf>
    <xf numFmtId="0" fontId="23" fillId="12" borderId="14" xfId="0" applyFont="1" applyFill="1" applyBorder="1" applyAlignment="1">
      <alignment horizontal="left" vertical="top" wrapText="1" indent="2"/>
    </xf>
    <xf numFmtId="0" fontId="23" fillId="14" borderId="98" xfId="0" applyFont="1" applyFill="1" applyBorder="1" applyAlignment="1">
      <alignment horizontal="left" vertical="top" wrapText="1" indent="2"/>
    </xf>
    <xf numFmtId="0" fontId="23" fillId="10" borderId="134" xfId="0" applyFont="1" applyFill="1" applyBorder="1" applyAlignment="1">
      <alignment horizontal="left" vertical="top" wrapText="1" indent="2"/>
    </xf>
    <xf numFmtId="0" fontId="30" fillId="2" borderId="0" xfId="1" applyFont="1" applyFill="1" applyAlignment="1">
      <alignment vertical="center"/>
    </xf>
    <xf numFmtId="0" fontId="22" fillId="2" borderId="11" xfId="1" applyFont="1" applyFill="1" applyBorder="1" applyAlignment="1">
      <alignment horizontal="right" vertical="center"/>
    </xf>
    <xf numFmtId="0" fontId="18" fillId="0" borderId="0" xfId="1" applyFont="1" applyAlignment="1">
      <alignment vertical="center"/>
    </xf>
    <xf numFmtId="0" fontId="24" fillId="0" borderId="0" xfId="1" applyFont="1"/>
    <xf numFmtId="0" fontId="16" fillId="2" borderId="122" xfId="0" applyFont="1" applyFill="1" applyBorder="1"/>
    <xf numFmtId="0" fontId="16" fillId="2" borderId="123" xfId="0" applyFont="1" applyFill="1" applyBorder="1"/>
    <xf numFmtId="0" fontId="16" fillId="2" borderId="124" xfId="0" applyFont="1" applyFill="1" applyBorder="1"/>
    <xf numFmtId="0" fontId="16" fillId="2" borderId="125" xfId="0" applyFont="1" applyFill="1" applyBorder="1"/>
    <xf numFmtId="0" fontId="16" fillId="2" borderId="0" xfId="0" applyFont="1" applyFill="1"/>
    <xf numFmtId="0" fontId="16" fillId="2" borderId="126" xfId="0" applyFont="1" applyFill="1" applyBorder="1"/>
    <xf numFmtId="0" fontId="16" fillId="2" borderId="0" xfId="0" applyFont="1" applyFill="1" applyAlignment="1">
      <alignment horizontal="left" indent="1"/>
    </xf>
    <xf numFmtId="0" fontId="16" fillId="0" borderId="0" xfId="0" applyFont="1"/>
    <xf numFmtId="0" fontId="16" fillId="2" borderId="127" xfId="0" applyFont="1" applyFill="1" applyBorder="1"/>
    <xf numFmtId="0" fontId="16" fillId="2" borderId="128" xfId="0" applyFont="1" applyFill="1" applyBorder="1"/>
    <xf numFmtId="0" fontId="16" fillId="2" borderId="129" xfId="0" applyFont="1" applyFill="1" applyBorder="1"/>
    <xf numFmtId="0" fontId="16" fillId="2" borderId="0" xfId="0" applyFont="1" applyFill="1" applyAlignment="1">
      <alignment vertical="top" wrapText="1"/>
    </xf>
    <xf numFmtId="0" fontId="16" fillId="4" borderId="0" xfId="0" applyFont="1" applyFill="1" applyAlignment="1">
      <alignment horizontal="left" vertical="top" wrapText="1" indent="2"/>
    </xf>
    <xf numFmtId="0" fontId="16" fillId="3" borderId="0" xfId="0" applyFont="1" applyFill="1" applyAlignment="1">
      <alignment horizontal="left" vertical="top" wrapText="1" indent="2"/>
    </xf>
    <xf numFmtId="0" fontId="16" fillId="2" borderId="103" xfId="0" applyFont="1" applyFill="1" applyBorder="1" applyAlignment="1">
      <alignment vertical="top" wrapText="1"/>
    </xf>
    <xf numFmtId="0" fontId="16" fillId="2" borderId="0" xfId="0" applyFont="1" applyFill="1" applyAlignment="1">
      <alignment horizontal="center"/>
    </xf>
    <xf numFmtId="0" fontId="16" fillId="3" borderId="0" xfId="0" applyFont="1" applyFill="1"/>
    <xf numFmtId="0" fontId="16" fillId="2" borderId="10" xfId="0" applyFont="1" applyFill="1" applyBorder="1"/>
    <xf numFmtId="0" fontId="16" fillId="2" borderId="11" xfId="0" applyFont="1" applyFill="1" applyBorder="1"/>
    <xf numFmtId="0" fontId="16" fillId="2" borderId="12" xfId="0" applyFont="1" applyFill="1" applyBorder="1"/>
    <xf numFmtId="0" fontId="16" fillId="4" borderId="0" xfId="0" applyFont="1" applyFill="1"/>
    <xf numFmtId="0" fontId="16" fillId="2" borderId="13" xfId="0" applyFont="1" applyFill="1" applyBorder="1"/>
    <xf numFmtId="0" fontId="16" fillId="2" borderId="14" xfId="0" applyFont="1" applyFill="1" applyBorder="1"/>
    <xf numFmtId="0" fontId="16" fillId="2" borderId="15" xfId="0" applyFont="1" applyFill="1" applyBorder="1"/>
    <xf numFmtId="0" fontId="16" fillId="10" borderId="41" xfId="0" applyFont="1" applyFill="1" applyBorder="1"/>
    <xf numFmtId="0" fontId="16" fillId="2" borderId="43" xfId="0" applyFont="1" applyFill="1" applyBorder="1"/>
    <xf numFmtId="0" fontId="16" fillId="2" borderId="44" xfId="0" applyFont="1" applyFill="1" applyBorder="1"/>
    <xf numFmtId="0" fontId="16" fillId="5" borderId="43" xfId="0" applyFont="1" applyFill="1" applyBorder="1"/>
    <xf numFmtId="0" fontId="16" fillId="5" borderId="0" xfId="0" applyFont="1" applyFill="1"/>
    <xf numFmtId="0" fontId="16" fillId="2" borderId="45" xfId="0" applyFont="1" applyFill="1" applyBorder="1"/>
    <xf numFmtId="0" fontId="16" fillId="2" borderId="46" xfId="0" applyFont="1" applyFill="1" applyBorder="1"/>
    <xf numFmtId="0" fontId="16" fillId="2" borderId="47" xfId="0" applyFont="1" applyFill="1" applyBorder="1"/>
    <xf numFmtId="0" fontId="16" fillId="12" borderId="58" xfId="0" applyFont="1" applyFill="1" applyBorder="1"/>
    <xf numFmtId="0" fontId="16" fillId="12" borderId="59" xfId="0" applyFont="1" applyFill="1" applyBorder="1"/>
    <xf numFmtId="0" fontId="16" fillId="2" borderId="60" xfId="0" applyFont="1" applyFill="1" applyBorder="1"/>
    <xf numFmtId="0" fontId="16" fillId="2" borderId="61" xfId="0" applyFont="1" applyFill="1" applyBorder="1"/>
    <xf numFmtId="0" fontId="16" fillId="2" borderId="62" xfId="0" applyFont="1" applyFill="1" applyBorder="1"/>
    <xf numFmtId="0" fontId="16" fillId="2" borderId="63" xfId="0" applyFont="1" applyFill="1" applyBorder="1"/>
    <xf numFmtId="0" fontId="16" fillId="2" borderId="64" xfId="0" applyFont="1" applyFill="1" applyBorder="1"/>
    <xf numFmtId="0" fontId="16" fillId="16" borderId="77" xfId="0" applyFont="1" applyFill="1" applyBorder="1"/>
    <xf numFmtId="0" fontId="16" fillId="16" borderId="78" xfId="0" applyFont="1" applyFill="1" applyBorder="1"/>
    <xf numFmtId="0" fontId="16" fillId="2" borderId="79" xfId="0" applyFont="1" applyFill="1" applyBorder="1"/>
    <xf numFmtId="0" fontId="16" fillId="2" borderId="80" xfId="0" applyFont="1" applyFill="1" applyBorder="1"/>
    <xf numFmtId="0" fontId="16" fillId="5" borderId="79" xfId="0" applyFont="1" applyFill="1" applyBorder="1"/>
    <xf numFmtId="0" fontId="16" fillId="2" borderId="81" xfId="0" applyFont="1" applyFill="1" applyBorder="1"/>
    <xf numFmtId="0" fontId="16" fillId="2" borderId="82" xfId="0" applyFont="1" applyFill="1" applyBorder="1"/>
    <xf numFmtId="0" fontId="16" fillId="2" borderId="83" xfId="0" applyFont="1" applyFill="1" applyBorder="1"/>
    <xf numFmtId="0" fontId="16" fillId="10" borderId="0" xfId="0" applyFont="1" applyFill="1"/>
    <xf numFmtId="0" fontId="16" fillId="10" borderId="0" xfId="0" applyFont="1" applyFill="1" applyAlignment="1">
      <alignment wrapText="1"/>
    </xf>
    <xf numFmtId="0" fontId="16" fillId="8" borderId="0" xfId="0" applyFont="1" applyFill="1"/>
    <xf numFmtId="0" fontId="16" fillId="2" borderId="0" xfId="0" applyFont="1" applyFill="1" applyAlignment="1">
      <alignment wrapText="1"/>
    </xf>
    <xf numFmtId="0" fontId="16" fillId="10" borderId="24" xfId="0" applyFont="1" applyFill="1" applyBorder="1"/>
    <xf numFmtId="0" fontId="16" fillId="2" borderId="20" xfId="0" applyFont="1" applyFill="1" applyBorder="1" applyAlignment="1">
      <alignment horizontal="right" vertical="center" wrapText="1"/>
    </xf>
    <xf numFmtId="0" fontId="16" fillId="4" borderId="24" xfId="0" applyFont="1" applyFill="1" applyBorder="1"/>
    <xf numFmtId="0" fontId="16" fillId="2" borderId="0" xfId="0" applyFont="1" applyFill="1" applyAlignment="1">
      <alignment horizontal="right" vertical="center" wrapText="1"/>
    </xf>
    <xf numFmtId="10" fontId="16" fillId="4" borderId="0" xfId="0" applyNumberFormat="1" applyFont="1" applyFill="1" applyAlignment="1">
      <alignment horizontal="center"/>
    </xf>
    <xf numFmtId="0" fontId="16" fillId="2" borderId="14" xfId="0" applyFont="1" applyFill="1" applyBorder="1" applyAlignment="1">
      <alignment horizontal="right" vertical="center" wrapText="1"/>
    </xf>
    <xf numFmtId="10" fontId="16" fillId="4" borderId="14" xfId="0" applyNumberFormat="1" applyFont="1" applyFill="1" applyBorder="1" applyAlignment="1">
      <alignment horizontal="center"/>
    </xf>
    <xf numFmtId="1" fontId="16" fillId="10" borderId="0" xfId="0" applyNumberFormat="1" applyFont="1" applyFill="1" applyAlignment="1">
      <alignment horizontal="center" vertical="center"/>
    </xf>
    <xf numFmtId="1" fontId="16" fillId="10" borderId="14" xfId="0" applyNumberFormat="1" applyFont="1" applyFill="1" applyBorder="1" applyAlignment="1">
      <alignment horizontal="center" vertical="center"/>
    </xf>
    <xf numFmtId="9" fontId="16" fillId="8" borderId="0" xfId="0" applyNumberFormat="1" applyFont="1" applyFill="1" applyAlignment="1">
      <alignment horizontal="center" vertical="center"/>
    </xf>
    <xf numFmtId="9" fontId="16" fillId="8" borderId="14" xfId="0" applyNumberFormat="1" applyFont="1" applyFill="1" applyBorder="1" applyAlignment="1">
      <alignment horizontal="center" vertical="center"/>
    </xf>
    <xf numFmtId="0" fontId="16" fillId="2" borderId="0" xfId="0" applyFont="1" applyFill="1" applyAlignment="1">
      <alignment vertical="center" wrapText="1"/>
    </xf>
    <xf numFmtId="0" fontId="16" fillId="2" borderId="0" xfId="0" applyFont="1" applyFill="1" applyAlignment="1">
      <alignment vertical="center"/>
    </xf>
    <xf numFmtId="0" fontId="16" fillId="10" borderId="0" xfId="0" applyFont="1" applyFill="1" applyAlignment="1">
      <alignment horizontal="center" vertical="center"/>
    </xf>
    <xf numFmtId="0" fontId="16" fillId="2" borderId="0" xfId="0" applyFont="1" applyFill="1" applyAlignment="1">
      <alignment horizontal="left" vertical="center" wrapText="1"/>
    </xf>
    <xf numFmtId="0" fontId="16" fillId="10" borderId="24" xfId="0" applyFont="1" applyFill="1" applyBorder="1" applyAlignment="1">
      <alignment horizontal="center" vertical="center"/>
    </xf>
    <xf numFmtId="0" fontId="16" fillId="8" borderId="0" xfId="0" applyFont="1" applyFill="1" applyAlignment="1">
      <alignment wrapText="1"/>
    </xf>
    <xf numFmtId="0" fontId="15" fillId="2" borderId="0" xfId="0" applyFont="1" applyFill="1" applyAlignment="1" applyProtection="1">
      <alignment wrapText="1"/>
      <protection locked="0"/>
    </xf>
    <xf numFmtId="0" fontId="15" fillId="3" borderId="0" xfId="0" applyFont="1" applyFill="1" applyAlignment="1" applyProtection="1">
      <alignment wrapText="1"/>
      <protection locked="0"/>
    </xf>
    <xf numFmtId="0" fontId="15" fillId="2" borderId="21" xfId="0" applyFont="1" applyFill="1" applyBorder="1" applyAlignment="1" applyProtection="1">
      <alignment vertical="center"/>
      <protection locked="0"/>
    </xf>
    <xf numFmtId="0" fontId="16" fillId="2" borderId="22" xfId="0" applyFont="1" applyFill="1" applyBorder="1"/>
    <xf numFmtId="0" fontId="15" fillId="2" borderId="7" xfId="0" applyFont="1" applyFill="1" applyBorder="1" applyAlignment="1" applyProtection="1">
      <alignment vertical="center"/>
      <protection locked="0"/>
    </xf>
    <xf numFmtId="0" fontId="16" fillId="8" borderId="89" xfId="0" applyFont="1" applyFill="1" applyBorder="1" applyAlignment="1">
      <alignment horizontal="left" vertical="center" wrapText="1"/>
    </xf>
    <xf numFmtId="0" fontId="16" fillId="2" borderId="4" xfId="0" applyFont="1" applyFill="1" applyBorder="1" applyAlignment="1">
      <alignment horizontal="left" vertical="center" wrapText="1"/>
    </xf>
    <xf numFmtId="0" fontId="16" fillId="8" borderId="26" xfId="0" applyFont="1" applyFill="1" applyBorder="1" applyProtection="1">
      <protection locked="0"/>
    </xf>
    <xf numFmtId="0" fontId="16" fillId="2" borderId="89" xfId="0" applyFont="1" applyFill="1" applyBorder="1" applyAlignment="1" applyProtection="1">
      <alignment vertical="center"/>
      <protection locked="0"/>
    </xf>
    <xf numFmtId="0" fontId="16" fillId="3" borderId="26" xfId="0" applyFont="1" applyFill="1" applyBorder="1" applyProtection="1">
      <protection locked="0"/>
    </xf>
    <xf numFmtId="0" fontId="16" fillId="8" borderId="90" xfId="0" applyFont="1" applyFill="1" applyBorder="1" applyAlignment="1">
      <alignment horizontal="left" vertical="center" wrapText="1"/>
    </xf>
    <xf numFmtId="0" fontId="16" fillId="8" borderId="27" xfId="0" applyFont="1" applyFill="1" applyBorder="1" applyProtection="1">
      <protection locked="0"/>
    </xf>
    <xf numFmtId="0" fontId="16" fillId="2" borderId="99" xfId="0" applyFont="1" applyFill="1" applyBorder="1" applyAlignment="1" applyProtection="1">
      <alignment vertical="center"/>
      <protection locked="0"/>
    </xf>
    <xf numFmtId="0" fontId="16" fillId="3" borderId="27" xfId="0" applyFont="1" applyFill="1" applyBorder="1" applyAlignment="1" applyProtection="1">
      <alignment vertical="center"/>
      <protection locked="0"/>
    </xf>
    <xf numFmtId="0" fontId="16" fillId="2" borderId="98" xfId="0" applyFont="1" applyFill="1" applyBorder="1" applyAlignment="1" applyProtection="1">
      <alignment wrapText="1"/>
      <protection locked="0"/>
    </xf>
    <xf numFmtId="0" fontId="16" fillId="3" borderId="27" xfId="0" applyFont="1" applyFill="1" applyBorder="1" applyAlignment="1" applyProtection="1">
      <alignment wrapText="1"/>
      <protection locked="0"/>
    </xf>
    <xf numFmtId="0" fontId="16" fillId="8" borderId="6" xfId="0" applyFont="1" applyFill="1" applyBorder="1" applyAlignment="1">
      <alignment horizontal="left" vertical="center" wrapText="1"/>
    </xf>
    <xf numFmtId="0" fontId="16" fillId="8" borderId="28" xfId="0" applyFont="1" applyFill="1" applyBorder="1" applyProtection="1">
      <protection locked="0"/>
    </xf>
    <xf numFmtId="0" fontId="16" fillId="2" borderId="48" xfId="0" applyFont="1" applyFill="1" applyBorder="1" applyAlignment="1" applyProtection="1">
      <alignment wrapText="1"/>
      <protection locked="0"/>
    </xf>
    <xf numFmtId="0" fontId="16" fillId="3" borderId="28" xfId="0" applyFont="1" applyFill="1" applyBorder="1" applyAlignment="1" applyProtection="1">
      <alignment wrapText="1"/>
      <protection locked="0"/>
    </xf>
    <xf numFmtId="0" fontId="16" fillId="2" borderId="21" xfId="0" applyFont="1" applyFill="1" applyBorder="1" applyAlignment="1">
      <alignment horizontal="left" vertical="center" wrapText="1"/>
    </xf>
    <xf numFmtId="0" fontId="16" fillId="2" borderId="21" xfId="0" applyFont="1" applyFill="1" applyBorder="1" applyProtection="1">
      <protection locked="0"/>
    </xf>
    <xf numFmtId="0" fontId="16" fillId="2" borderId="21" xfId="0" applyFont="1" applyFill="1" applyBorder="1" applyAlignment="1" applyProtection="1">
      <alignment wrapText="1"/>
      <protection locked="0"/>
    </xf>
    <xf numFmtId="0" fontId="16" fillId="8" borderId="26" xfId="0" applyFont="1" applyFill="1" applyBorder="1" applyAlignment="1">
      <alignment horizontal="center"/>
    </xf>
    <xf numFmtId="0" fontId="16" fillId="8" borderId="26" xfId="0" applyFont="1" applyFill="1" applyBorder="1" applyAlignment="1">
      <alignment vertical="center" wrapText="1"/>
    </xf>
    <xf numFmtId="0" fontId="16" fillId="2" borderId="4" xfId="0" applyFont="1" applyFill="1" applyBorder="1" applyAlignment="1">
      <alignment vertical="center" wrapText="1"/>
    </xf>
    <xf numFmtId="0" fontId="16" fillId="8" borderId="89" xfId="0" applyFont="1" applyFill="1" applyBorder="1" applyProtection="1">
      <protection locked="0"/>
    </xf>
    <xf numFmtId="0" fontId="16" fillId="10" borderId="26" xfId="0" applyFont="1" applyFill="1" applyBorder="1"/>
    <xf numFmtId="0" fontId="16" fillId="3" borderId="91" xfId="0" applyFont="1" applyFill="1" applyBorder="1" applyProtection="1">
      <protection locked="0"/>
    </xf>
    <xf numFmtId="0" fontId="16" fillId="8" borderId="27" xfId="0" applyFont="1" applyFill="1" applyBorder="1" applyAlignment="1">
      <alignment horizontal="center"/>
    </xf>
    <xf numFmtId="0" fontId="16" fillId="8" borderId="27" xfId="0" applyFont="1" applyFill="1" applyBorder="1" applyAlignment="1">
      <alignment vertical="center" wrapText="1"/>
    </xf>
    <xf numFmtId="0" fontId="16" fillId="8" borderId="90" xfId="0" applyFont="1" applyFill="1" applyBorder="1" applyProtection="1">
      <protection locked="0"/>
    </xf>
    <xf numFmtId="0" fontId="16" fillId="10" borderId="27" xfId="0" applyFont="1" applyFill="1" applyBorder="1"/>
    <xf numFmtId="0" fontId="16" fillId="3" borderId="92" xfId="0" applyFont="1" applyFill="1" applyBorder="1" applyProtection="1">
      <protection locked="0"/>
    </xf>
    <xf numFmtId="0" fontId="16" fillId="8" borderId="28" xfId="0" applyFont="1" applyFill="1" applyBorder="1" applyAlignment="1">
      <alignment horizontal="center"/>
    </xf>
    <xf numFmtId="0" fontId="16" fillId="8" borderId="28" xfId="0" applyFont="1" applyFill="1" applyBorder="1" applyAlignment="1">
      <alignment vertical="center" wrapText="1"/>
    </xf>
    <xf numFmtId="0" fontId="16" fillId="8" borderId="6" xfId="0" applyFont="1" applyFill="1" applyBorder="1" applyProtection="1">
      <protection locked="0"/>
    </xf>
    <xf numFmtId="0" fontId="16" fillId="10" borderId="28" xfId="0" applyFont="1" applyFill="1" applyBorder="1"/>
    <xf numFmtId="0" fontId="16" fillId="3" borderId="29" xfId="0" applyFont="1" applyFill="1" applyBorder="1" applyProtection="1">
      <protection locked="0"/>
    </xf>
    <xf numFmtId="0" fontId="16" fillId="10" borderId="6" xfId="0" applyFont="1" applyFill="1" applyBorder="1" applyAlignment="1">
      <alignment horizontal="center" vertical="center"/>
    </xf>
    <xf numFmtId="0" fontId="16" fillId="2" borderId="21" xfId="0" applyFont="1" applyFill="1" applyBorder="1" applyAlignment="1">
      <alignment horizontal="center" vertical="center"/>
    </xf>
    <xf numFmtId="0" fontId="16" fillId="8" borderId="26" xfId="0" applyFont="1" applyFill="1" applyBorder="1" applyAlignment="1">
      <alignment horizontal="center" vertical="center"/>
    </xf>
    <xf numFmtId="9" fontId="16" fillId="10" borderId="99" xfId="7" applyFont="1" applyFill="1" applyBorder="1" applyProtection="1"/>
    <xf numFmtId="0" fontId="16" fillId="0" borderId="118" xfId="0" applyFont="1" applyBorder="1" applyAlignment="1">
      <alignment wrapText="1"/>
    </xf>
    <xf numFmtId="0" fontId="16" fillId="8" borderId="27" xfId="0" applyFont="1" applyFill="1" applyBorder="1" applyAlignment="1">
      <alignment horizontal="center" vertical="center"/>
    </xf>
    <xf numFmtId="9" fontId="16" fillId="8" borderId="99" xfId="7" applyFont="1" applyFill="1" applyBorder="1" applyProtection="1">
      <protection locked="0"/>
    </xf>
    <xf numFmtId="0" fontId="16" fillId="3" borderId="118" xfId="0" applyFont="1" applyFill="1" applyBorder="1" applyProtection="1">
      <protection locked="0"/>
    </xf>
    <xf numFmtId="0" fontId="16" fillId="8" borderId="28" xfId="0" applyFont="1" applyFill="1" applyBorder="1" applyAlignment="1">
      <alignment horizontal="center" vertical="center"/>
    </xf>
    <xf numFmtId="9" fontId="16" fillId="8" borderId="119" xfId="7" applyFont="1" applyFill="1" applyBorder="1" applyProtection="1">
      <protection locked="0"/>
    </xf>
    <xf numFmtId="0" fontId="16" fillId="12" borderId="0" xfId="0" applyFont="1" applyFill="1"/>
    <xf numFmtId="0" fontId="16" fillId="12" borderId="0" xfId="0" applyFont="1" applyFill="1" applyAlignment="1">
      <alignment wrapText="1"/>
    </xf>
    <xf numFmtId="0" fontId="16" fillId="3" borderId="14" xfId="0" applyFont="1" applyFill="1" applyBorder="1" applyProtection="1">
      <protection locked="0"/>
    </xf>
    <xf numFmtId="0" fontId="16" fillId="2" borderId="0" xfId="0" applyFont="1" applyFill="1" applyAlignment="1">
      <alignment horizontal="right"/>
    </xf>
    <xf numFmtId="0" fontId="16" fillId="3" borderId="0" xfId="0" applyFont="1" applyFill="1" applyProtection="1">
      <protection locked="0"/>
    </xf>
    <xf numFmtId="169" fontId="16" fillId="3" borderId="0" xfId="0" applyNumberFormat="1" applyFont="1" applyFill="1" applyProtection="1">
      <protection locked="0"/>
    </xf>
    <xf numFmtId="0" fontId="16" fillId="3" borderId="17" xfId="0" applyFont="1" applyFill="1" applyBorder="1" applyProtection="1">
      <protection locked="0"/>
    </xf>
    <xf numFmtId="169" fontId="15" fillId="3" borderId="0" xfId="0" applyNumberFormat="1" applyFont="1" applyFill="1" applyProtection="1">
      <protection locked="0"/>
    </xf>
    <xf numFmtId="0" fontId="16" fillId="2" borderId="2" xfId="0" applyFont="1" applyFill="1" applyBorder="1"/>
    <xf numFmtId="169" fontId="15" fillId="12" borderId="3" xfId="0" applyNumberFormat="1" applyFont="1" applyFill="1" applyBorder="1"/>
    <xf numFmtId="0" fontId="16" fillId="2" borderId="4" xfId="0" applyFont="1" applyFill="1" applyBorder="1"/>
    <xf numFmtId="169" fontId="15" fillId="12" borderId="5" xfId="0" applyNumberFormat="1" applyFont="1" applyFill="1" applyBorder="1"/>
    <xf numFmtId="0" fontId="15" fillId="2" borderId="0" xfId="0" applyFont="1" applyFill="1"/>
    <xf numFmtId="0" fontId="16" fillId="2" borderId="0" xfId="0" applyFont="1" applyFill="1" applyAlignment="1">
      <alignment horizontal="left"/>
    </xf>
    <xf numFmtId="0" fontId="16" fillId="2" borderId="5" xfId="0" applyFont="1" applyFill="1" applyBorder="1"/>
    <xf numFmtId="0" fontId="16" fillId="2" borderId="96" xfId="0" applyFont="1" applyFill="1" applyBorder="1" applyAlignment="1">
      <alignment horizontal="left"/>
    </xf>
    <xf numFmtId="0" fontId="16" fillId="2" borderId="96" xfId="0" applyFont="1" applyFill="1" applyBorder="1"/>
    <xf numFmtId="169" fontId="16" fillId="8" borderId="97" xfId="4" applyNumberFormat="1" applyFont="1" applyFill="1" applyBorder="1" applyAlignment="1" applyProtection="1">
      <alignment horizontal="right"/>
    </xf>
    <xf numFmtId="169" fontId="16" fillId="8" borderId="94" xfId="4" applyNumberFormat="1" applyFont="1" applyFill="1" applyBorder="1" applyAlignment="1" applyProtection="1">
      <alignment horizontal="right"/>
    </xf>
    <xf numFmtId="0" fontId="16" fillId="2" borderId="93" xfId="1" applyFont="1" applyFill="1" applyBorder="1"/>
    <xf numFmtId="169" fontId="15" fillId="8" borderId="94" xfId="4" applyNumberFormat="1" applyFont="1" applyFill="1" applyBorder="1" applyAlignment="1">
      <alignment horizontal="right"/>
    </xf>
    <xf numFmtId="0" fontId="16" fillId="4" borderId="93" xfId="0" applyFont="1" applyFill="1" applyBorder="1"/>
    <xf numFmtId="0" fontId="16" fillId="2" borderId="6" xfId="0" applyFont="1" applyFill="1" applyBorder="1"/>
    <xf numFmtId="0" fontId="16" fillId="2" borderId="7" xfId="0" applyFont="1" applyFill="1" applyBorder="1"/>
    <xf numFmtId="0" fontId="16" fillId="2" borderId="8" xfId="0" applyFont="1" applyFill="1" applyBorder="1"/>
    <xf numFmtId="0" fontId="16" fillId="3" borderId="4" xfId="0" applyFont="1" applyFill="1" applyBorder="1" applyAlignment="1" applyProtection="1">
      <alignment wrapText="1"/>
      <protection locked="0"/>
    </xf>
    <xf numFmtId="169" fontId="15" fillId="3" borderId="16" xfId="0" applyNumberFormat="1" applyFont="1" applyFill="1" applyBorder="1" applyProtection="1">
      <protection locked="0"/>
    </xf>
    <xf numFmtId="0" fontId="16" fillId="3" borderId="4" xfId="0" applyFont="1" applyFill="1" applyBorder="1" applyProtection="1">
      <protection locked="0"/>
    </xf>
    <xf numFmtId="0" fontId="16" fillId="2" borderId="0" xfId="1" applyFont="1" applyFill="1"/>
    <xf numFmtId="0" fontId="16" fillId="12" borderId="0" xfId="1" applyFont="1" applyFill="1"/>
    <xf numFmtId="0" fontId="16" fillId="2" borderId="0" xfId="1" applyFont="1" applyFill="1" applyAlignment="1">
      <alignment vertical="top" wrapText="1"/>
    </xf>
    <xf numFmtId="0" fontId="16" fillId="2" borderId="14" xfId="1" applyFont="1" applyFill="1" applyBorder="1" applyAlignment="1">
      <alignment horizontal="left" vertical="center" wrapText="1"/>
    </xf>
    <xf numFmtId="0" fontId="16" fillId="2" borderId="0" xfId="1" applyFont="1" applyFill="1" applyAlignment="1">
      <alignment horizontal="left" vertical="center" wrapText="1"/>
    </xf>
    <xf numFmtId="0" fontId="16" fillId="12" borderId="0" xfId="0" applyFont="1" applyFill="1" applyAlignment="1">
      <alignment vertical="center"/>
    </xf>
    <xf numFmtId="0" fontId="16" fillId="12" borderId="0" xfId="1" applyFont="1" applyFill="1" applyAlignment="1">
      <alignment vertical="center"/>
    </xf>
    <xf numFmtId="0" fontId="16" fillId="2" borderId="0" xfId="1" applyFont="1" applyFill="1" applyAlignment="1">
      <alignment vertical="center"/>
    </xf>
    <xf numFmtId="0" fontId="16" fillId="0" borderId="0" xfId="1" applyFont="1"/>
    <xf numFmtId="0" fontId="16" fillId="2" borderId="0" xfId="1" applyFont="1" applyFill="1" applyAlignment="1">
      <alignment vertical="top"/>
    </xf>
    <xf numFmtId="8" fontId="16" fillId="2" borderId="0" xfId="1" applyNumberFormat="1" applyFont="1" applyFill="1" applyAlignment="1">
      <alignment horizontal="right" vertical="center" wrapText="1"/>
    </xf>
    <xf numFmtId="0" fontId="16" fillId="2" borderId="16" xfId="1" applyFont="1" applyFill="1" applyBorder="1"/>
    <xf numFmtId="0" fontId="16" fillId="16" borderId="0" xfId="0" applyFont="1" applyFill="1"/>
    <xf numFmtId="0" fontId="16" fillId="16" borderId="0" xfId="0" applyFont="1" applyFill="1" applyAlignment="1">
      <alignment wrapText="1"/>
    </xf>
    <xf numFmtId="0" fontId="16" fillId="16" borderId="0" xfId="0" applyFont="1" applyFill="1" applyAlignment="1">
      <alignment horizontal="left"/>
    </xf>
    <xf numFmtId="0" fontId="16" fillId="2" borderId="0" xfId="0" applyFont="1" applyFill="1" applyAlignment="1">
      <alignment horizontal="right" vertical="center"/>
    </xf>
    <xf numFmtId="0" fontId="16" fillId="8" borderId="0" xfId="0" applyFont="1" applyFill="1" applyAlignment="1">
      <alignment horizontal="center"/>
    </xf>
    <xf numFmtId="0" fontId="16" fillId="2" borderId="0" xfId="0" applyFont="1" applyFill="1" applyAlignment="1">
      <alignment horizontal="left" vertical="center"/>
    </xf>
    <xf numFmtId="0" fontId="16" fillId="3" borderId="0" xfId="0" applyFont="1" applyFill="1" applyAlignment="1" applyProtection="1">
      <alignment wrapText="1"/>
      <protection locked="0"/>
    </xf>
    <xf numFmtId="0" fontId="16" fillId="8" borderId="0" xfId="0" applyFont="1" applyFill="1" applyAlignment="1">
      <alignment horizontal="center" wrapText="1"/>
    </xf>
    <xf numFmtId="0" fontId="16" fillId="2" borderId="9" xfId="0" applyFont="1" applyFill="1" applyBorder="1"/>
    <xf numFmtId="0" fontId="16" fillId="2" borderId="9" xfId="0" applyFont="1" applyFill="1" applyBorder="1" applyAlignment="1">
      <alignment wrapText="1"/>
    </xf>
    <xf numFmtId="0" fontId="16" fillId="3" borderId="0" xfId="0" applyFont="1" applyFill="1" applyAlignment="1" applyProtection="1">
      <alignment horizontal="center" wrapText="1"/>
      <protection locked="0"/>
    </xf>
    <xf numFmtId="0" fontId="16" fillId="3" borderId="19" xfId="0" applyFont="1" applyFill="1" applyBorder="1" applyProtection="1">
      <protection locked="0"/>
    </xf>
    <xf numFmtId="0" fontId="16" fillId="3" borderId="16" xfId="0" applyFont="1" applyFill="1" applyBorder="1" applyProtection="1">
      <protection locked="0"/>
    </xf>
    <xf numFmtId="0" fontId="15" fillId="8" borderId="16" xfId="0" applyFont="1" applyFill="1" applyBorder="1"/>
    <xf numFmtId="0" fontId="16" fillId="8" borderId="98" xfId="0" applyFont="1" applyFill="1" applyBorder="1" applyAlignment="1">
      <alignment wrapText="1"/>
    </xf>
    <xf numFmtId="0" fontId="16" fillId="16" borderId="0" xfId="0" applyFont="1" applyFill="1" applyAlignment="1">
      <alignment vertical="center" wrapText="1"/>
    </xf>
    <xf numFmtId="0" fontId="16" fillId="3" borderId="17" xfId="0" applyFont="1" applyFill="1" applyBorder="1" applyAlignment="1" applyProtection="1">
      <alignment wrapText="1"/>
      <protection locked="0"/>
    </xf>
    <xf numFmtId="0" fontId="16" fillId="16" borderId="0" xfId="0" applyFont="1" applyFill="1" applyAlignment="1">
      <alignment horizontal="right"/>
    </xf>
    <xf numFmtId="0" fontId="16" fillId="2" borderId="0" xfId="0" quotePrefix="1" applyFont="1" applyFill="1"/>
    <xf numFmtId="0" fontId="16" fillId="16" borderId="76" xfId="0" applyFont="1" applyFill="1" applyBorder="1"/>
    <xf numFmtId="0" fontId="16" fillId="16" borderId="79" xfId="0" applyFont="1" applyFill="1" applyBorder="1"/>
    <xf numFmtId="0" fontId="16" fillId="2" borderId="0" xfId="0" applyFont="1" applyFill="1" applyAlignment="1">
      <alignment horizontal="right" wrapText="1"/>
    </xf>
    <xf numFmtId="0" fontId="16" fillId="2" borderId="0" xfId="0" applyFont="1" applyFill="1" applyAlignment="1">
      <alignment horizontal="left" wrapText="1"/>
    </xf>
    <xf numFmtId="0" fontId="16" fillId="3" borderId="19" xfId="0" applyFont="1" applyFill="1" applyBorder="1" applyAlignment="1" applyProtection="1">
      <alignment wrapText="1"/>
      <protection locked="0"/>
    </xf>
    <xf numFmtId="0" fontId="16" fillId="16" borderId="84" xfId="0" applyFont="1" applyFill="1" applyBorder="1"/>
    <xf numFmtId="0" fontId="16" fillId="16" borderId="85" xfId="0" applyFont="1" applyFill="1" applyBorder="1"/>
    <xf numFmtId="0" fontId="16" fillId="16" borderId="0" xfId="0" applyFont="1" applyFill="1" applyAlignment="1">
      <alignment vertical="center"/>
    </xf>
    <xf numFmtId="0" fontId="16" fillId="16" borderId="81" xfId="0" applyFont="1" applyFill="1" applyBorder="1"/>
    <xf numFmtId="0" fontId="16" fillId="16" borderId="82" xfId="0" applyFont="1" applyFill="1" applyBorder="1"/>
    <xf numFmtId="0" fontId="16" fillId="16" borderId="82" xfId="0" applyFont="1" applyFill="1" applyBorder="1" applyAlignment="1">
      <alignment wrapText="1"/>
    </xf>
    <xf numFmtId="0" fontId="16" fillId="3" borderId="17" xfId="0" applyFont="1" applyFill="1" applyBorder="1" applyAlignment="1" applyProtection="1">
      <alignment horizontal="center" wrapText="1"/>
      <protection locked="0"/>
    </xf>
    <xf numFmtId="0" fontId="16" fillId="8" borderId="14" xfId="0" applyFont="1" applyFill="1" applyBorder="1" applyAlignment="1">
      <alignment wrapText="1"/>
    </xf>
    <xf numFmtId="0" fontId="16" fillId="11" borderId="0" xfId="1" applyFont="1" applyFill="1"/>
    <xf numFmtId="0" fontId="16" fillId="16" borderId="0" xfId="1" applyFont="1" applyFill="1"/>
    <xf numFmtId="0" fontId="16" fillId="13" borderId="15" xfId="1" applyFont="1" applyFill="1" applyBorder="1" applyAlignment="1">
      <alignment horizontal="left" vertical="center" wrapText="1"/>
    </xf>
    <xf numFmtId="2" fontId="16" fillId="0" borderId="0" xfId="0" applyNumberFormat="1" applyFont="1"/>
    <xf numFmtId="0" fontId="16" fillId="6" borderId="18" xfId="1" applyFont="1" applyFill="1" applyBorder="1" applyProtection="1">
      <protection locked="0"/>
    </xf>
    <xf numFmtId="0" fontId="16" fillId="0" borderId="32" xfId="0" applyFont="1" applyBorder="1"/>
    <xf numFmtId="2" fontId="16" fillId="0" borderId="0" xfId="1" applyNumberFormat="1" applyFont="1"/>
    <xf numFmtId="0" fontId="16" fillId="6" borderId="18" xfId="1" applyFont="1" applyFill="1" applyBorder="1" applyAlignment="1" applyProtection="1">
      <alignment wrapText="1"/>
      <protection locked="0"/>
    </xf>
    <xf numFmtId="0" fontId="16" fillId="0" borderId="32" xfId="1" applyFont="1" applyBorder="1" applyProtection="1">
      <protection locked="0"/>
    </xf>
    <xf numFmtId="0" fontId="16" fillId="0" borderId="0" xfId="1" applyFont="1" applyProtection="1">
      <protection locked="0"/>
    </xf>
    <xf numFmtId="0" fontId="16" fillId="0" borderId="88" xfId="0" applyFont="1" applyBorder="1"/>
    <xf numFmtId="0" fontId="16" fillId="15" borderId="0" xfId="1" applyFont="1" applyFill="1"/>
    <xf numFmtId="0" fontId="16" fillId="9" borderId="32" xfId="1" applyFont="1" applyFill="1" applyBorder="1"/>
    <xf numFmtId="2" fontId="16" fillId="9" borderId="32" xfId="1" applyNumberFormat="1" applyFont="1" applyFill="1" applyBorder="1"/>
    <xf numFmtId="0" fontId="16" fillId="9" borderId="39" xfId="1" applyFont="1" applyFill="1" applyBorder="1"/>
    <xf numFmtId="2" fontId="16" fillId="9" borderId="39" xfId="1" applyNumberFormat="1" applyFont="1" applyFill="1" applyBorder="1"/>
    <xf numFmtId="0" fontId="16" fillId="0" borderId="32" xfId="1" applyFont="1" applyBorder="1"/>
    <xf numFmtId="2" fontId="16" fillId="0" borderId="32" xfId="1" applyNumberFormat="1" applyFont="1" applyBorder="1"/>
    <xf numFmtId="0" fontId="16" fillId="15" borderId="32" xfId="1" applyFont="1" applyFill="1" applyBorder="1"/>
    <xf numFmtId="2" fontId="16" fillId="15" borderId="32" xfId="1" applyNumberFormat="1" applyFont="1" applyFill="1" applyBorder="1"/>
    <xf numFmtId="0" fontId="16" fillId="15" borderId="38" xfId="1" applyFont="1" applyFill="1" applyBorder="1"/>
    <xf numFmtId="2" fontId="16" fillId="15" borderId="38" xfId="1" applyNumberFormat="1" applyFont="1" applyFill="1" applyBorder="1"/>
    <xf numFmtId="0" fontId="16" fillId="0" borderId="0" xfId="1" applyFont="1" applyAlignment="1">
      <alignment horizontal="left" vertical="center" wrapText="1"/>
    </xf>
    <xf numFmtId="2" fontId="16" fillId="0" borderId="0" xfId="1" applyNumberFormat="1" applyFont="1" applyAlignment="1">
      <alignment horizontal="left" vertical="center" wrapText="1"/>
    </xf>
    <xf numFmtId="0" fontId="22" fillId="2" borderId="0" xfId="1" applyFont="1" applyFill="1" applyBorder="1" applyAlignment="1">
      <alignment horizontal="right" vertical="center" wrapText="1"/>
    </xf>
    <xf numFmtId="0" fontId="16" fillId="2" borderId="0" xfId="1" applyFont="1" applyFill="1" applyBorder="1" applyAlignment="1">
      <alignment horizontal="left" vertical="center" wrapText="1"/>
    </xf>
    <xf numFmtId="10" fontId="23" fillId="2" borderId="0" xfId="1" applyNumberFormat="1" applyFont="1" applyFill="1" applyBorder="1"/>
    <xf numFmtId="1" fontId="23" fillId="2" borderId="0" xfId="1" applyNumberFormat="1" applyFont="1" applyFill="1" applyBorder="1"/>
    <xf numFmtId="0" fontId="14" fillId="2" borderId="16" xfId="1" applyFont="1" applyFill="1" applyBorder="1" applyAlignment="1">
      <alignment horizontal="left" vertical="center" indent="3"/>
    </xf>
    <xf numFmtId="0" fontId="14" fillId="2" borderId="16" xfId="1" applyFont="1" applyFill="1" applyBorder="1" applyAlignment="1">
      <alignment horizontal="left" vertical="center" wrapText="1" indent="3"/>
    </xf>
    <xf numFmtId="0" fontId="14" fillId="2" borderId="0" xfId="1" applyFont="1" applyFill="1" applyAlignment="1">
      <alignment horizontal="right" vertical="top"/>
    </xf>
    <xf numFmtId="0" fontId="22" fillId="2" borderId="0" xfId="1" applyFont="1" applyFill="1" applyAlignment="1">
      <alignment horizontal="left" wrapText="1"/>
    </xf>
    <xf numFmtId="0" fontId="14" fillId="0" borderId="0" xfId="1" applyFont="1"/>
    <xf numFmtId="8" fontId="14" fillId="2" borderId="11" xfId="1" applyNumberFormat="1" applyFont="1" applyFill="1" applyBorder="1" applyAlignment="1">
      <alignment horizontal="left" vertical="center" wrapText="1"/>
    </xf>
    <xf numFmtId="10" fontId="23" fillId="2" borderId="16" xfId="1" applyNumberFormat="1" applyFont="1" applyFill="1" applyBorder="1"/>
    <xf numFmtId="10" fontId="23" fillId="2" borderId="13" xfId="1" applyNumberFormat="1" applyFont="1" applyFill="1" applyBorder="1"/>
    <xf numFmtId="10" fontId="23" fillId="8" borderId="14" xfId="1" applyNumberFormat="1" applyFont="1" applyFill="1" applyBorder="1" applyAlignment="1">
      <alignment vertical="center"/>
    </xf>
    <xf numFmtId="10" fontId="23" fillId="8" borderId="98" xfId="1" applyNumberFormat="1" applyFont="1" applyFill="1" applyBorder="1"/>
    <xf numFmtId="10" fontId="23" fillId="2" borderId="13" xfId="1" applyNumberFormat="1" applyFont="1" applyFill="1" applyBorder="1" applyAlignment="1">
      <alignment wrapText="1"/>
    </xf>
    <xf numFmtId="10" fontId="23" fillId="2" borderId="23" xfId="1" applyNumberFormat="1" applyFont="1" applyFill="1" applyBorder="1"/>
    <xf numFmtId="0" fontId="22" fillId="2" borderId="98" xfId="1" applyFont="1" applyFill="1" applyBorder="1" applyAlignment="1">
      <alignment wrapText="1"/>
    </xf>
    <xf numFmtId="0" fontId="22" fillId="2" borderId="98" xfId="1" applyFont="1" applyFill="1" applyBorder="1" applyAlignment="1">
      <alignment horizontal="left" wrapText="1"/>
    </xf>
    <xf numFmtId="0" fontId="22" fillId="12" borderId="23" xfId="1" applyFont="1" applyFill="1" applyBorder="1" applyAlignment="1">
      <alignment wrapText="1"/>
    </xf>
    <xf numFmtId="0" fontId="14" fillId="0" borderId="135" xfId="1" applyFont="1" applyBorder="1" applyAlignment="1">
      <alignment horizontal="right" vertical="center"/>
    </xf>
    <xf numFmtId="0" fontId="15" fillId="8" borderId="13" xfId="0" applyFont="1" applyFill="1" applyBorder="1"/>
    <xf numFmtId="0" fontId="16" fillId="16" borderId="12" xfId="0" applyFont="1" applyFill="1" applyBorder="1" applyAlignment="1">
      <alignment vertical="center" wrapText="1"/>
    </xf>
    <xf numFmtId="0" fontId="14" fillId="2" borderId="104" xfId="0" applyFont="1" applyFill="1" applyBorder="1" applyAlignment="1">
      <alignment vertical="top" wrapText="1"/>
    </xf>
    <xf numFmtId="0" fontId="16" fillId="2" borderId="0" xfId="0" applyFont="1" applyFill="1" applyBorder="1" applyProtection="1">
      <protection locked="0"/>
    </xf>
    <xf numFmtId="0" fontId="16" fillId="2" borderId="0" xfId="0" applyFont="1" applyFill="1" applyProtection="1">
      <protection locked="0"/>
    </xf>
    <xf numFmtId="0" fontId="14" fillId="0" borderId="0" xfId="0" applyFont="1"/>
    <xf numFmtId="0" fontId="53" fillId="2" borderId="14" xfId="0" applyFont="1" applyFill="1" applyBorder="1"/>
    <xf numFmtId="0" fontId="14" fillId="2" borderId="95" xfId="1" applyFont="1" applyFill="1" applyBorder="1"/>
    <xf numFmtId="0" fontId="14" fillId="2" borderId="93" xfId="1" applyFont="1" applyFill="1" applyBorder="1"/>
    <xf numFmtId="0" fontId="28" fillId="12" borderId="0" xfId="1" applyFont="1" applyFill="1"/>
    <xf numFmtId="0" fontId="22" fillId="2" borderId="0" xfId="0" applyFont="1" applyFill="1" applyAlignment="1">
      <alignment horizontal="right" wrapText="1"/>
    </xf>
    <xf numFmtId="0" fontId="72" fillId="2" borderId="0" xfId="0" applyFont="1" applyFill="1" applyAlignment="1">
      <alignment horizontal="right" vertical="top"/>
    </xf>
    <xf numFmtId="170" fontId="23" fillId="12" borderId="5" xfId="6" applyNumberFormat="1" applyFont="1" applyFill="1" applyBorder="1"/>
    <xf numFmtId="0" fontId="16" fillId="13" borderId="17" xfId="1" applyFont="1" applyFill="1" applyBorder="1"/>
    <xf numFmtId="0" fontId="19" fillId="13" borderId="14" xfId="1" applyFill="1" applyBorder="1"/>
    <xf numFmtId="0" fontId="22" fillId="2" borderId="0" xfId="1" applyFont="1" applyFill="1" applyAlignment="1">
      <alignment horizontal="left"/>
    </xf>
    <xf numFmtId="0" fontId="21" fillId="13" borderId="0" xfId="1" applyFont="1" applyFill="1"/>
    <xf numFmtId="0" fontId="21" fillId="13" borderId="17" xfId="1" applyFont="1" applyFill="1" applyBorder="1"/>
    <xf numFmtId="0" fontId="0" fillId="8" borderId="0" xfId="0" applyFill="1" applyAlignment="1">
      <alignment wrapText="1"/>
    </xf>
    <xf numFmtId="0" fontId="0" fillId="8" borderId="0" xfId="0" applyFill="1"/>
    <xf numFmtId="49" fontId="0" fillId="8" borderId="0" xfId="0" applyNumberFormat="1" applyFill="1"/>
    <xf numFmtId="0" fontId="37" fillId="8" borderId="0" xfId="0" applyFont="1" applyFill="1" applyAlignment="1">
      <alignment wrapText="1"/>
    </xf>
    <xf numFmtId="0" fontId="13" fillId="8" borderId="0" xfId="0" applyFont="1" applyFill="1"/>
    <xf numFmtId="49" fontId="13" fillId="8" borderId="0" xfId="0" applyNumberFormat="1" applyFont="1" applyFill="1"/>
    <xf numFmtId="0" fontId="13" fillId="8" borderId="0" xfId="0" applyFont="1" applyFill="1" applyAlignment="1">
      <alignment wrapText="1"/>
    </xf>
    <xf numFmtId="49" fontId="13" fillId="2" borderId="0" xfId="0" applyNumberFormat="1" applyFont="1" applyFill="1"/>
    <xf numFmtId="0" fontId="13" fillId="2" borderId="0" xfId="0" applyFont="1" applyFill="1" applyAlignment="1">
      <alignment wrapText="1"/>
    </xf>
    <xf numFmtId="49" fontId="13" fillId="2" borderId="0" xfId="0" applyNumberFormat="1" applyFont="1" applyFill="1" applyAlignment="1">
      <alignment wrapText="1"/>
    </xf>
    <xf numFmtId="0" fontId="13" fillId="2" borderId="0" xfId="0" applyFont="1" applyFill="1" applyAlignment="1">
      <alignment vertical="top" wrapText="1"/>
    </xf>
    <xf numFmtId="0" fontId="13" fillId="0" borderId="0" xfId="0" applyFont="1" applyFill="1" applyAlignment="1">
      <alignment wrapText="1"/>
    </xf>
    <xf numFmtId="49" fontId="13" fillId="8" borderId="0" xfId="0" applyNumberFormat="1" applyFont="1" applyFill="1" applyAlignment="1">
      <alignment wrapText="1"/>
    </xf>
    <xf numFmtId="0" fontId="13" fillId="2" borderId="0" xfId="0" applyFont="1" applyFill="1"/>
    <xf numFmtId="0" fontId="43" fillId="2" borderId="0" xfId="0" applyFont="1" applyFill="1" applyAlignment="1">
      <alignment wrapText="1"/>
    </xf>
    <xf numFmtId="44" fontId="22" fillId="12" borderId="0" xfId="4" applyFont="1" applyFill="1" applyAlignment="1">
      <alignment horizontal="right" vertical="center" wrapText="1"/>
    </xf>
    <xf numFmtId="0" fontId="23" fillId="17" borderId="17" xfId="0" applyFont="1" applyFill="1" applyBorder="1" applyAlignment="1">
      <alignment horizontal="right"/>
    </xf>
    <xf numFmtId="169" fontId="15" fillId="12" borderId="18" xfId="0" applyNumberFormat="1" applyFont="1" applyFill="1" applyBorder="1"/>
    <xf numFmtId="0" fontId="23" fillId="17" borderId="15" xfId="0" applyFont="1" applyFill="1" applyBorder="1" applyAlignment="1">
      <alignment horizontal="right"/>
    </xf>
    <xf numFmtId="170" fontId="23" fillId="12" borderId="118" xfId="6" applyNumberFormat="1" applyFont="1" applyFill="1" applyBorder="1"/>
    <xf numFmtId="0" fontId="23" fillId="17" borderId="137" xfId="0" applyFont="1" applyFill="1" applyBorder="1" applyAlignment="1">
      <alignment horizontal="right"/>
    </xf>
    <xf numFmtId="170" fontId="23" fillId="12" borderId="92" xfId="6" applyNumberFormat="1" applyFont="1" applyFill="1" applyBorder="1"/>
    <xf numFmtId="8" fontId="23" fillId="12" borderId="0" xfId="4" applyNumberFormat="1" applyFont="1" applyFill="1" applyAlignment="1">
      <alignment horizontal="right" vertical="center" wrapText="1"/>
    </xf>
    <xf numFmtId="0" fontId="12" fillId="0" borderId="0" xfId="1" applyFont="1"/>
    <xf numFmtId="0" fontId="29" fillId="2" borderId="0" xfId="1" applyFont="1" applyFill="1" applyAlignment="1">
      <alignment horizontal="right"/>
    </xf>
    <xf numFmtId="0" fontId="59" fillId="2" borderId="0" xfId="1" applyFont="1" applyFill="1" applyAlignment="1">
      <alignment vertical="center"/>
    </xf>
    <xf numFmtId="0" fontId="28" fillId="2" borderId="0" xfId="1" applyFont="1" applyFill="1" applyAlignment="1">
      <alignment horizontal="right"/>
    </xf>
    <xf numFmtId="0" fontId="23" fillId="2" borderId="0" xfId="1" applyFont="1" applyFill="1" applyAlignment="1">
      <alignment wrapText="1"/>
    </xf>
    <xf numFmtId="0" fontId="23" fillId="0" borderId="0" xfId="1" applyFont="1" applyAlignment="1">
      <alignment wrapText="1"/>
    </xf>
    <xf numFmtId="169" fontId="28" fillId="11" borderId="0" xfId="4" applyNumberFormat="1" applyFont="1" applyFill="1" applyBorder="1" applyAlignment="1" applyProtection="1">
      <alignment vertical="center"/>
    </xf>
    <xf numFmtId="169" fontId="28" fillId="2" borderId="0" xfId="4" applyNumberFormat="1" applyFont="1" applyFill="1" applyBorder="1" applyAlignment="1" applyProtection="1">
      <alignment vertical="center"/>
    </xf>
    <xf numFmtId="167" fontId="23" fillId="2" borderId="0" xfId="4" applyNumberFormat="1" applyFont="1" applyFill="1" applyAlignment="1" applyProtection="1">
      <alignment wrapText="1"/>
    </xf>
    <xf numFmtId="167" fontId="23" fillId="0" borderId="0" xfId="4" applyNumberFormat="1" applyFont="1" applyFill="1" applyAlignment="1" applyProtection="1">
      <alignment wrapText="1"/>
    </xf>
    <xf numFmtId="0" fontId="28" fillId="2" borderId="0" xfId="1" applyFont="1" applyFill="1" applyAlignment="1">
      <alignment horizontal="right" vertical="center"/>
    </xf>
    <xf numFmtId="0" fontId="28" fillId="11" borderId="0" xfId="1" applyFont="1" applyFill="1" applyAlignment="1">
      <alignment vertical="center"/>
    </xf>
    <xf numFmtId="0" fontId="12" fillId="12" borderId="0" xfId="1" applyFont="1" applyFill="1"/>
    <xf numFmtId="0" fontId="12" fillId="2" borderId="0" xfId="1" applyFont="1" applyFill="1"/>
    <xf numFmtId="169" fontId="23" fillId="2" borderId="0" xfId="4" applyNumberFormat="1" applyFont="1" applyFill="1" applyAlignment="1">
      <alignment vertical="center" wrapText="1"/>
    </xf>
    <xf numFmtId="0" fontId="28" fillId="2" borderId="0" xfId="1" applyFont="1" applyFill="1" applyAlignment="1">
      <alignment wrapText="1"/>
    </xf>
    <xf numFmtId="169" fontId="23" fillId="12" borderId="0" xfId="4" applyNumberFormat="1" applyFont="1" applyFill="1" applyAlignment="1" applyProtection="1">
      <alignment vertical="center" wrapText="1"/>
    </xf>
    <xf numFmtId="169" fontId="23" fillId="2" borderId="0" xfId="4" applyNumberFormat="1" applyFont="1" applyFill="1" applyAlignment="1" applyProtection="1">
      <alignment vertical="center" wrapText="1"/>
    </xf>
    <xf numFmtId="0" fontId="12" fillId="2" borderId="0" xfId="1" applyFont="1" applyFill="1" applyAlignment="1">
      <alignment vertical="center"/>
    </xf>
    <xf numFmtId="167" fontId="23" fillId="12" borderId="0" xfId="4" applyNumberFormat="1" applyFont="1" applyFill="1" applyAlignment="1" applyProtection="1">
      <alignment wrapText="1"/>
    </xf>
    <xf numFmtId="169" fontId="23" fillId="12" borderId="0" xfId="4" applyNumberFormat="1" applyFont="1" applyFill="1" applyAlignment="1" applyProtection="1"/>
    <xf numFmtId="169" fontId="23" fillId="2" borderId="0" xfId="4" applyNumberFormat="1" applyFont="1" applyFill="1" applyAlignment="1" applyProtection="1"/>
    <xf numFmtId="0" fontId="12" fillId="2" borderId="0" xfId="1" applyFont="1" applyFill="1" applyAlignment="1">
      <alignment horizontal="right"/>
    </xf>
    <xf numFmtId="0" fontId="28" fillId="12" borderId="0" xfId="1" applyFont="1" applyFill="1" applyAlignment="1">
      <alignment horizontal="right"/>
    </xf>
    <xf numFmtId="0" fontId="30" fillId="0" borderId="0" xfId="1" applyFont="1" applyAlignment="1">
      <alignment horizontal="right"/>
    </xf>
    <xf numFmtId="0" fontId="22" fillId="0" borderId="0" xfId="1" applyFont="1" applyAlignment="1">
      <alignment horizontal="right"/>
    </xf>
    <xf numFmtId="169" fontId="23" fillId="2" borderId="0" xfId="4" applyNumberFormat="1" applyFont="1" applyFill="1" applyBorder="1" applyAlignment="1" applyProtection="1">
      <alignment wrapText="1"/>
    </xf>
    <xf numFmtId="0" fontId="28" fillId="2" borderId="0" xfId="1" applyFont="1" applyFill="1"/>
    <xf numFmtId="169" fontId="23" fillId="12" borderId="0" xfId="4" applyNumberFormat="1" applyFont="1" applyFill="1" applyBorder="1" applyAlignment="1" applyProtection="1">
      <alignment vertical="center"/>
    </xf>
    <xf numFmtId="167" fontId="23" fillId="2" borderId="0" xfId="4" applyNumberFormat="1" applyFont="1" applyFill="1" applyBorder="1" applyAlignment="1" applyProtection="1">
      <alignment horizontal="center" wrapText="1"/>
    </xf>
    <xf numFmtId="167" fontId="23" fillId="2" borderId="0" xfId="4" applyNumberFormat="1" applyFont="1" applyFill="1" applyBorder="1" applyAlignment="1" applyProtection="1">
      <alignment horizontal="center" vertical="center" wrapText="1"/>
    </xf>
    <xf numFmtId="169" fontId="23" fillId="0" borderId="0" xfId="4" applyNumberFormat="1" applyFont="1" applyFill="1" applyBorder="1" applyAlignment="1" applyProtection="1">
      <alignment wrapText="1"/>
    </xf>
    <xf numFmtId="169" fontId="23" fillId="17" borderId="17" xfId="4" applyNumberFormat="1" applyFont="1" applyFill="1" applyBorder="1" applyAlignment="1" applyProtection="1">
      <alignment vertical="center" wrapText="1"/>
    </xf>
    <xf numFmtId="169" fontId="23" fillId="0" borderId="0" xfId="4" applyNumberFormat="1" applyFont="1" applyFill="1" applyAlignment="1" applyProtection="1">
      <alignment wrapText="1"/>
    </xf>
    <xf numFmtId="49" fontId="23" fillId="2" borderId="0" xfId="1" applyNumberFormat="1" applyFont="1" applyFill="1" applyAlignment="1">
      <alignment horizontal="right"/>
    </xf>
    <xf numFmtId="2" fontId="23" fillId="2" borderId="0" xfId="1" applyNumberFormat="1" applyFont="1" applyFill="1" applyAlignment="1">
      <alignment horizontal="center"/>
    </xf>
    <xf numFmtId="169" fontId="23" fillId="2" borderId="0" xfId="4" applyNumberFormat="1" applyFont="1" applyFill="1" applyAlignment="1" applyProtection="1">
      <alignment wrapText="1"/>
    </xf>
    <xf numFmtId="49" fontId="23" fillId="2" borderId="14" xfId="1" applyNumberFormat="1" applyFont="1" applyFill="1" applyBorder="1" applyAlignment="1">
      <alignment horizontal="right"/>
    </xf>
    <xf numFmtId="167" fontId="23" fillId="2" borderId="0" xfId="4" applyNumberFormat="1" applyFont="1" applyFill="1" applyAlignment="1" applyProtection="1">
      <alignment horizontal="center" wrapText="1"/>
    </xf>
    <xf numFmtId="169" fontId="23" fillId="12" borderId="0" xfId="4" applyNumberFormat="1" applyFont="1" applyFill="1" applyAlignment="1" applyProtection="1">
      <alignment vertical="center"/>
    </xf>
    <xf numFmtId="169" fontId="23" fillId="2" borderId="0" xfId="4" applyNumberFormat="1" applyFont="1" applyFill="1" applyAlignment="1" applyProtection="1">
      <alignment vertical="center"/>
    </xf>
    <xf numFmtId="0" fontId="28" fillId="2" borderId="0" xfId="1" applyFont="1" applyFill="1" applyAlignment="1">
      <alignment horizontal="right" wrapText="1"/>
    </xf>
    <xf numFmtId="2" fontId="23" fillId="2" borderId="0" xfId="1" applyNumberFormat="1" applyFont="1" applyFill="1"/>
    <xf numFmtId="0" fontId="12" fillId="16" borderId="0" xfId="1" applyFont="1" applyFill="1"/>
    <xf numFmtId="0" fontId="12" fillId="2" borderId="0" xfId="0" applyFont="1" applyFill="1" applyAlignment="1">
      <alignment horizontal="left"/>
    </xf>
    <xf numFmtId="0" fontId="23" fillId="2" borderId="0" xfId="1" applyFont="1" applyFill="1" applyBorder="1"/>
    <xf numFmtId="169" fontId="22" fillId="14" borderId="0" xfId="1" applyNumberFormat="1" applyFont="1" applyFill="1" applyAlignment="1"/>
    <xf numFmtId="169" fontId="28" fillId="14" borderId="0" xfId="1" applyNumberFormat="1" applyFont="1" applyFill="1" applyAlignment="1"/>
    <xf numFmtId="169" fontId="28" fillId="2" borderId="0" xfId="1" applyNumberFormat="1" applyFont="1" applyFill="1" applyAlignment="1"/>
    <xf numFmtId="0" fontId="23" fillId="2" borderId="0" xfId="1" applyFont="1" applyFill="1" applyAlignment="1"/>
    <xf numFmtId="49" fontId="23" fillId="2" borderId="14" xfId="1" applyNumberFormat="1" applyFont="1" applyFill="1" applyBorder="1" applyAlignment="1">
      <alignment horizontal="right" vertical="center"/>
    </xf>
    <xf numFmtId="0" fontId="23" fillId="2" borderId="14" xfId="1" applyFont="1" applyFill="1" applyBorder="1" applyAlignment="1">
      <alignment vertical="center"/>
    </xf>
    <xf numFmtId="169" fontId="28" fillId="16" borderId="14" xfId="1" applyNumberFormat="1" applyFont="1" applyFill="1" applyBorder="1" applyAlignment="1">
      <alignment vertical="center"/>
    </xf>
    <xf numFmtId="43" fontId="23" fillId="14" borderId="0" xfId="6" applyFont="1" applyFill="1" applyAlignment="1">
      <alignment horizontal="center"/>
    </xf>
    <xf numFmtId="43" fontId="23" fillId="14" borderId="14" xfId="6" applyFont="1" applyFill="1" applyBorder="1" applyAlignment="1">
      <alignment horizontal="center"/>
    </xf>
    <xf numFmtId="169" fontId="28" fillId="2" borderId="0" xfId="1" applyNumberFormat="1" applyFont="1" applyFill="1" applyBorder="1" applyAlignment="1"/>
    <xf numFmtId="169" fontId="22" fillId="2" borderId="0" xfId="1" applyNumberFormat="1" applyFont="1" applyFill="1" applyBorder="1" applyAlignment="1"/>
    <xf numFmtId="0" fontId="28" fillId="12" borderId="0" xfId="1" applyFont="1" applyFill="1" applyAlignment="1">
      <alignment horizontal="left"/>
    </xf>
    <xf numFmtId="169" fontId="23" fillId="2" borderId="0" xfId="4" applyNumberFormat="1" applyFont="1" applyFill="1" applyBorder="1" applyAlignment="1" applyProtection="1">
      <alignment vertical="center" wrapText="1"/>
    </xf>
    <xf numFmtId="169" fontId="23" fillId="2" borderId="0" xfId="4" applyNumberFormat="1" applyFont="1" applyFill="1" applyBorder="1" applyAlignment="1" applyProtection="1">
      <alignment vertical="center"/>
    </xf>
    <xf numFmtId="0" fontId="28" fillId="2" borderId="0" xfId="1" applyFont="1" applyFill="1" applyAlignment="1">
      <alignment horizontal="left"/>
    </xf>
    <xf numFmtId="43" fontId="23" fillId="16" borderId="14" xfId="6" applyFont="1" applyFill="1" applyBorder="1" applyAlignment="1">
      <alignment horizontal="center" vertical="center"/>
    </xf>
    <xf numFmtId="43" fontId="23" fillId="16" borderId="0" xfId="6" applyFont="1" applyFill="1" applyAlignment="1">
      <alignment horizontal="center"/>
    </xf>
    <xf numFmtId="0" fontId="12" fillId="2" borderId="0" xfId="1" applyFont="1" applyFill="1" applyAlignment="1">
      <alignment horizontal="left"/>
    </xf>
    <xf numFmtId="0" fontId="85" fillId="0" borderId="0" xfId="1" applyFont="1" applyAlignment="1">
      <alignment horizontal="center" vertical="center" wrapText="1"/>
    </xf>
    <xf numFmtId="167" fontId="23" fillId="12" borderId="0" xfId="4" applyNumberFormat="1" applyFont="1" applyFill="1" applyBorder="1" applyAlignment="1" applyProtection="1">
      <alignment vertical="center" wrapText="1"/>
    </xf>
    <xf numFmtId="167" fontId="23" fillId="0" borderId="0" xfId="4" applyNumberFormat="1" applyFont="1" applyFill="1" applyBorder="1" applyAlignment="1" applyProtection="1">
      <alignment vertical="center" wrapText="1"/>
    </xf>
    <xf numFmtId="0" fontId="23" fillId="2" borderId="0" xfId="1" applyFont="1" applyFill="1" applyBorder="1" applyAlignment="1">
      <alignment horizontal="left" vertical="center"/>
    </xf>
    <xf numFmtId="0" fontId="23" fillId="0" borderId="0" xfId="1" applyFont="1" applyBorder="1"/>
    <xf numFmtId="0" fontId="23" fillId="2" borderId="0" xfId="1" applyFont="1" applyFill="1" applyBorder="1" applyAlignment="1">
      <alignment horizontal="left"/>
    </xf>
    <xf numFmtId="0" fontId="23" fillId="8" borderId="98" xfId="1" applyFont="1" applyFill="1" applyBorder="1" applyAlignment="1">
      <alignment wrapText="1"/>
    </xf>
    <xf numFmtId="0" fontId="18" fillId="0" borderId="14" xfId="1" applyFont="1" applyBorder="1"/>
    <xf numFmtId="0" fontId="85" fillId="0" borderId="14" xfId="1" applyFont="1" applyBorder="1" applyAlignment="1">
      <alignment horizontal="center" wrapText="1"/>
    </xf>
    <xf numFmtId="0" fontId="11" fillId="2" borderId="14" xfId="0" applyFont="1" applyFill="1" applyBorder="1" applyAlignment="1">
      <alignment horizontal="left"/>
    </xf>
    <xf numFmtId="0" fontId="16" fillId="12" borderId="0" xfId="0" applyFont="1" applyFill="1" applyAlignment="1">
      <alignment horizontal="right"/>
    </xf>
    <xf numFmtId="0" fontId="11" fillId="2" borderId="0" xfId="0" applyFont="1" applyFill="1"/>
    <xf numFmtId="0" fontId="11" fillId="2" borderId="0" xfId="0" applyFont="1" applyFill="1" applyBorder="1"/>
    <xf numFmtId="0" fontId="16" fillId="3" borderId="98" xfId="0" applyFont="1" applyFill="1" applyBorder="1" applyProtection="1">
      <protection locked="0"/>
    </xf>
    <xf numFmtId="0" fontId="11" fillId="2" borderId="98" xfId="0" applyFont="1" applyFill="1" applyBorder="1" applyAlignment="1">
      <alignment horizontal="left"/>
    </xf>
    <xf numFmtId="0" fontId="11" fillId="2" borderId="7" xfId="0" applyFont="1" applyFill="1" applyBorder="1" applyAlignment="1" applyProtection="1">
      <alignment horizontal="right" vertical="center"/>
      <protection locked="0"/>
    </xf>
    <xf numFmtId="0" fontId="15" fillId="10" borderId="24" xfId="0" applyFont="1" applyFill="1" applyBorder="1" applyAlignment="1" applyProtection="1">
      <alignment vertical="center"/>
    </xf>
    <xf numFmtId="0" fontId="23" fillId="11" borderId="14" xfId="1" applyFont="1" applyFill="1" applyBorder="1" applyAlignment="1" applyProtection="1">
      <alignment vertical="center"/>
    </xf>
    <xf numFmtId="0" fontId="16" fillId="10" borderId="134" xfId="0" applyFont="1" applyFill="1" applyBorder="1" applyAlignment="1">
      <alignment horizontal="center" vertical="center"/>
    </xf>
    <xf numFmtId="0" fontId="24" fillId="2" borderId="14" xfId="0" applyFont="1" applyFill="1" applyBorder="1" applyAlignment="1">
      <alignment horizontal="right"/>
    </xf>
    <xf numFmtId="0" fontId="24" fillId="3" borderId="24" xfId="0" applyFont="1" applyFill="1" applyBorder="1" applyProtection="1">
      <protection locked="0"/>
    </xf>
    <xf numFmtId="0" fontId="28" fillId="2" borderId="0" xfId="1" applyFont="1" applyFill="1" applyAlignment="1">
      <alignment vertical="center"/>
    </xf>
    <xf numFmtId="0" fontId="23" fillId="2" borderId="0" xfId="1" applyFont="1" applyFill="1" applyBorder="1" applyAlignment="1"/>
    <xf numFmtId="0" fontId="23" fillId="8" borderId="14" xfId="1" applyFont="1" applyFill="1" applyBorder="1" applyAlignment="1">
      <alignment wrapText="1"/>
    </xf>
    <xf numFmtId="1" fontId="23" fillId="8" borderId="98" xfId="6" applyNumberFormat="1" applyFont="1" applyFill="1" applyBorder="1" applyAlignment="1" applyProtection="1">
      <alignment vertical="center" wrapText="1"/>
    </xf>
    <xf numFmtId="0" fontId="69" fillId="2" borderId="0" xfId="1" applyFont="1" applyFill="1" applyAlignment="1">
      <alignment horizontal="right" vertical="center"/>
    </xf>
    <xf numFmtId="169" fontId="69" fillId="12" borderId="24" xfId="4" applyNumberFormat="1" applyFont="1" applyFill="1" applyBorder="1" applyAlignment="1">
      <alignment vertical="center" wrapText="1"/>
    </xf>
    <xf numFmtId="169" fontId="69" fillId="12" borderId="24" xfId="4" applyNumberFormat="1" applyFont="1" applyFill="1" applyBorder="1" applyAlignment="1" applyProtection="1">
      <alignment vertical="center" wrapText="1"/>
    </xf>
    <xf numFmtId="0" fontId="69" fillId="2" borderId="0" xfId="1" applyFont="1" applyFill="1" applyAlignment="1">
      <alignment horizontal="left" vertical="center"/>
    </xf>
    <xf numFmtId="0" fontId="69" fillId="2" borderId="0" xfId="1" applyFont="1" applyFill="1" applyAlignment="1">
      <alignment horizontal="right" wrapText="1"/>
    </xf>
    <xf numFmtId="169" fontId="69" fillId="17" borderId="24" xfId="4" applyNumberFormat="1" applyFont="1" applyFill="1" applyBorder="1" applyAlignment="1" applyProtection="1">
      <alignment vertical="center"/>
    </xf>
    <xf numFmtId="169" fontId="69" fillId="12" borderId="22" xfId="4" applyNumberFormat="1" applyFont="1" applyFill="1" applyBorder="1" applyAlignment="1" applyProtection="1">
      <alignment vertical="center"/>
    </xf>
    <xf numFmtId="169" fontId="69" fillId="16" borderId="24" xfId="1" applyNumberFormat="1" applyFont="1" applyFill="1" applyBorder="1" applyAlignment="1"/>
    <xf numFmtId="0" fontId="69" fillId="2" borderId="0" xfId="1" applyFont="1" applyFill="1" applyAlignment="1">
      <alignment wrapText="1"/>
    </xf>
    <xf numFmtId="169" fontId="69" fillId="11" borderId="120" xfId="4" applyNumberFormat="1" applyFont="1" applyFill="1" applyBorder="1" applyAlignment="1" applyProtection="1">
      <alignment vertical="center"/>
    </xf>
    <xf numFmtId="169" fontId="69" fillId="11" borderId="22" xfId="4" applyNumberFormat="1" applyFont="1" applyFill="1" applyBorder="1" applyAlignment="1" applyProtection="1">
      <alignment vertical="center"/>
    </xf>
    <xf numFmtId="0" fontId="22" fillId="0" borderId="0" xfId="1" applyFont="1" applyBorder="1" applyAlignment="1">
      <alignment horizontal="left"/>
    </xf>
    <xf numFmtId="169" fontId="28" fillId="8" borderId="0" xfId="4" applyNumberFormat="1" applyFont="1" applyFill="1" applyBorder="1" applyAlignment="1">
      <alignment vertical="center"/>
    </xf>
    <xf numFmtId="0" fontId="18" fillId="0" borderId="0" xfId="1" applyFont="1" applyBorder="1"/>
    <xf numFmtId="0" fontId="85" fillId="0" borderId="0" xfId="1" applyFont="1" applyBorder="1" applyAlignment="1">
      <alignment horizontal="right" wrapText="1"/>
    </xf>
    <xf numFmtId="0" fontId="18" fillId="0" borderId="0" xfId="1" applyFont="1" applyBorder="1" applyAlignment="1">
      <alignment horizontal="left"/>
    </xf>
    <xf numFmtId="169" fontId="28" fillId="11" borderId="0" xfId="4" applyNumberFormat="1" applyFont="1" applyFill="1" applyBorder="1" applyAlignment="1" applyProtection="1">
      <alignment vertical="center" wrapText="1"/>
    </xf>
    <xf numFmtId="0" fontId="28" fillId="2" borderId="0" xfId="1" applyFont="1" applyFill="1" applyBorder="1" applyAlignment="1">
      <alignment horizontal="left" vertical="center"/>
    </xf>
    <xf numFmtId="0" fontId="11" fillId="2" borderId="0" xfId="1" applyFont="1" applyFill="1"/>
    <xf numFmtId="0" fontId="23" fillId="2" borderId="52" xfId="1" applyFont="1" applyFill="1" applyBorder="1"/>
    <xf numFmtId="0" fontId="23" fillId="2" borderId="53" xfId="1" applyFont="1" applyFill="1" applyBorder="1"/>
    <xf numFmtId="0" fontId="12" fillId="0" borderId="52" xfId="1" applyFont="1" applyBorder="1"/>
    <xf numFmtId="0" fontId="23" fillId="2" borderId="53" xfId="1" applyFont="1" applyFill="1" applyBorder="1" applyAlignment="1" applyProtection="1">
      <alignment vertical="center"/>
      <protection locked="0"/>
    </xf>
    <xf numFmtId="0" fontId="23" fillId="2" borderId="54" xfId="1" applyFont="1" applyFill="1" applyBorder="1"/>
    <xf numFmtId="169" fontId="28" fillId="2" borderId="55" xfId="4" applyNumberFormat="1" applyFont="1" applyFill="1" applyBorder="1" applyAlignment="1" applyProtection="1">
      <alignment vertical="center" wrapText="1"/>
    </xf>
    <xf numFmtId="0" fontId="28" fillId="2" borderId="55" xfId="1" applyFont="1" applyFill="1" applyBorder="1" applyAlignment="1">
      <alignment vertical="center"/>
    </xf>
    <xf numFmtId="0" fontId="28" fillId="2" borderId="55" xfId="1" applyFont="1" applyFill="1" applyBorder="1" applyAlignment="1">
      <alignment horizontal="left" vertical="center"/>
    </xf>
    <xf numFmtId="0" fontId="23" fillId="2" borderId="56" xfId="1" applyFont="1" applyFill="1" applyBorder="1"/>
    <xf numFmtId="0" fontId="23" fillId="11" borderId="0" xfId="1" applyFont="1" applyFill="1"/>
    <xf numFmtId="0" fontId="11" fillId="8" borderId="0" xfId="0" applyFont="1" applyFill="1" applyAlignment="1"/>
    <xf numFmtId="0" fontId="11" fillId="11" borderId="14" xfId="1" applyFont="1" applyFill="1" applyBorder="1"/>
    <xf numFmtId="0" fontId="11" fillId="2" borderId="0" xfId="1" applyFont="1" applyFill="1" applyAlignment="1">
      <alignment horizontal="right"/>
    </xf>
    <xf numFmtId="0" fontId="11" fillId="11" borderId="98" xfId="1" applyFont="1" applyFill="1" applyBorder="1"/>
    <xf numFmtId="0" fontId="22" fillId="2" borderId="14" xfId="1" applyFont="1" applyFill="1" applyBorder="1" applyAlignment="1">
      <alignment horizontal="left"/>
    </xf>
    <xf numFmtId="0" fontId="62" fillId="2" borderId="0" xfId="1" applyFont="1" applyFill="1" applyAlignment="1">
      <alignment vertical="center" wrapText="1"/>
    </xf>
    <xf numFmtId="0" fontId="69" fillId="2" borderId="20" xfId="1" applyFont="1" applyFill="1" applyBorder="1" applyAlignment="1">
      <alignment horizontal="left" vertical="center"/>
    </xf>
    <xf numFmtId="2" fontId="28" fillId="2" borderId="0" xfId="1" applyNumberFormat="1" applyFont="1" applyFill="1" applyAlignment="1">
      <alignment horizontal="left"/>
    </xf>
    <xf numFmtId="0" fontId="22" fillId="2" borderId="0" xfId="1" applyFont="1" applyFill="1" applyAlignment="1"/>
    <xf numFmtId="0" fontId="11" fillId="11" borderId="0" xfId="1" applyFont="1" applyFill="1" applyAlignment="1"/>
    <xf numFmtId="0" fontId="11" fillId="0" borderId="0" xfId="1" applyFont="1" applyAlignment="1"/>
    <xf numFmtId="0" fontId="11" fillId="2" borderId="0" xfId="1" applyFont="1" applyFill="1" applyAlignment="1"/>
    <xf numFmtId="0" fontId="28" fillId="2" borderId="0" xfId="1" applyFont="1" applyFill="1" applyAlignment="1">
      <alignment horizontal="center" vertical="center"/>
    </xf>
    <xf numFmtId="0" fontId="11" fillId="2" borderId="0" xfId="0" applyFont="1" applyFill="1" applyAlignment="1"/>
    <xf numFmtId="0" fontId="29" fillId="2" borderId="0" xfId="1" applyFont="1" applyFill="1" applyAlignment="1"/>
    <xf numFmtId="0" fontId="28" fillId="2" borderId="0" xfId="1" applyFont="1" applyFill="1" applyAlignment="1"/>
    <xf numFmtId="0" fontId="28" fillId="11" borderId="0" xfId="1" applyFont="1" applyFill="1" applyAlignment="1"/>
    <xf numFmtId="167" fontId="23" fillId="2" borderId="0" xfId="4" applyNumberFormat="1" applyFont="1" applyFill="1" applyAlignment="1" applyProtection="1"/>
    <xf numFmtId="0" fontId="23" fillId="12" borderId="0" xfId="1" applyFont="1" applyFill="1" applyAlignment="1"/>
    <xf numFmtId="0" fontId="28" fillId="12" borderId="0" xfId="1" applyFont="1" applyFill="1" applyAlignment="1"/>
    <xf numFmtId="0" fontId="22" fillId="11" borderId="0" xfId="1" applyFont="1" applyFill="1" applyAlignment="1"/>
    <xf numFmtId="0" fontId="23" fillId="16" borderId="0" xfId="1" applyFont="1" applyFill="1" applyAlignment="1"/>
    <xf numFmtId="169" fontId="23" fillId="2" borderId="0" xfId="4" applyNumberFormat="1" applyFont="1" applyFill="1" applyBorder="1" applyAlignment="1" applyProtection="1"/>
    <xf numFmtId="164" fontId="23" fillId="2" borderId="0" xfId="1" applyNumberFormat="1" applyFont="1" applyFill="1" applyAlignment="1"/>
    <xf numFmtId="0" fontId="29" fillId="16" borderId="0" xfId="1" applyFont="1" applyFill="1" applyAlignment="1"/>
    <xf numFmtId="9" fontId="11" fillId="2" borderId="0" xfId="2" applyFont="1" applyFill="1" applyAlignment="1" applyProtection="1"/>
    <xf numFmtId="0" fontId="23" fillId="2" borderId="21" xfId="1" applyFont="1" applyFill="1" applyBorder="1"/>
    <xf numFmtId="2" fontId="69" fillId="8" borderId="24" xfId="1" applyNumberFormat="1" applyFont="1" applyFill="1" applyBorder="1" applyAlignment="1">
      <alignment horizontal="center" vertical="center"/>
    </xf>
    <xf numFmtId="0" fontId="23" fillId="2" borderId="21" xfId="1" applyFont="1" applyFill="1" applyBorder="1" applyAlignment="1" applyProtection="1">
      <alignment vertical="center"/>
      <protection locked="0"/>
    </xf>
    <xf numFmtId="169" fontId="28" fillId="2" borderId="0" xfId="4" applyNumberFormat="1" applyFont="1" applyFill="1" applyAlignment="1" applyProtection="1">
      <alignment vertical="center"/>
    </xf>
    <xf numFmtId="169" fontId="28" fillId="2" borderId="0" xfId="4" applyNumberFormat="1" applyFont="1" applyFill="1" applyAlignment="1">
      <alignment vertical="center"/>
    </xf>
    <xf numFmtId="0" fontId="23" fillId="17" borderId="0" xfId="1" applyFont="1" applyFill="1" applyAlignment="1"/>
    <xf numFmtId="0" fontId="11" fillId="17" borderId="0" xfId="1" applyFont="1" applyFill="1" applyAlignment="1"/>
    <xf numFmtId="0" fontId="28" fillId="17" borderId="0" xfId="1" applyFont="1" applyFill="1" applyAlignment="1"/>
    <xf numFmtId="0" fontId="29" fillId="17" borderId="0" xfId="1" applyFont="1" applyFill="1" applyAlignment="1"/>
    <xf numFmtId="167" fontId="23" fillId="2" borderId="0" xfId="4" applyNumberFormat="1" applyFont="1" applyFill="1" applyBorder="1" applyAlignment="1" applyProtection="1"/>
    <xf numFmtId="0" fontId="28" fillId="12" borderId="0" xfId="1" applyFont="1" applyFill="1" applyBorder="1" applyAlignment="1">
      <alignment horizontal="right"/>
    </xf>
    <xf numFmtId="165" fontId="29" fillId="2" borderId="0" xfId="2" applyNumberFormat="1" applyFont="1" applyFill="1" applyAlignment="1" applyProtection="1"/>
    <xf numFmtId="0" fontId="67" fillId="2" borderId="0" xfId="1" applyFont="1" applyFill="1"/>
    <xf numFmtId="0" fontId="67" fillId="11" borderId="0" xfId="1" applyFont="1" applyFill="1"/>
    <xf numFmtId="0" fontId="23" fillId="11" borderId="0" xfId="1" applyFont="1" applyFill="1" applyAlignment="1"/>
    <xf numFmtId="0" fontId="23" fillId="11" borderId="0" xfId="1" applyFont="1" applyFill="1" applyBorder="1" applyAlignment="1"/>
    <xf numFmtId="169" fontId="23" fillId="11" borderId="0" xfId="4" applyNumberFormat="1" applyFont="1" applyFill="1" applyBorder="1" applyAlignment="1" applyProtection="1"/>
    <xf numFmtId="169" fontId="23" fillId="11" borderId="0" xfId="4" applyNumberFormat="1" applyFont="1" applyFill="1" applyAlignment="1" applyProtection="1"/>
    <xf numFmtId="0" fontId="30" fillId="2" borderId="0" xfId="1" applyFont="1" applyFill="1" applyAlignment="1">
      <alignment horizontal="right"/>
    </xf>
    <xf numFmtId="0" fontId="22" fillId="17" borderId="14" xfId="1" applyFont="1" applyFill="1" applyBorder="1" applyAlignment="1">
      <alignment horizontal="left" vertical="center" wrapText="1"/>
    </xf>
    <xf numFmtId="10" fontId="28" fillId="2" borderId="23" xfId="1" applyNumberFormat="1" applyFont="1" applyFill="1" applyBorder="1" applyAlignment="1">
      <alignment vertical="center" wrapText="1"/>
    </xf>
    <xf numFmtId="8" fontId="28" fillId="12" borderId="98" xfId="4" applyNumberFormat="1" applyFont="1" applyFill="1" applyBorder="1" applyAlignment="1">
      <alignment horizontal="right" vertical="center" wrapText="1"/>
    </xf>
    <xf numFmtId="44" fontId="11" fillId="12" borderId="136" xfId="4" applyFont="1" applyFill="1" applyBorder="1" applyAlignment="1">
      <alignment vertical="center"/>
    </xf>
    <xf numFmtId="0" fontId="20" fillId="0" borderId="0" xfId="1" applyFont="1" applyAlignment="1"/>
    <xf numFmtId="169" fontId="20" fillId="16" borderId="24" xfId="1" applyNumberFormat="1" applyFont="1" applyFill="1" applyBorder="1" applyAlignment="1"/>
    <xf numFmtId="0" fontId="20" fillId="0" borderId="20" xfId="1" applyFont="1" applyBorder="1" applyAlignment="1"/>
    <xf numFmtId="0" fontId="67" fillId="11" borderId="55" xfId="1" applyFont="1" applyFill="1" applyBorder="1"/>
    <xf numFmtId="0" fontId="18" fillId="11" borderId="55" xfId="1" applyFont="1" applyFill="1" applyBorder="1"/>
    <xf numFmtId="0" fontId="23" fillId="11" borderId="55" xfId="1" applyFont="1" applyFill="1" applyBorder="1"/>
    <xf numFmtId="0" fontId="23" fillId="11" borderId="54" xfId="1" applyFont="1" applyFill="1" applyBorder="1"/>
    <xf numFmtId="0" fontId="23" fillId="11" borderId="52" xfId="1" applyFont="1" applyFill="1" applyBorder="1" applyAlignment="1"/>
    <xf numFmtId="0" fontId="28" fillId="11" borderId="52" xfId="1" applyFont="1" applyFill="1" applyBorder="1" applyAlignment="1"/>
    <xf numFmtId="0" fontId="28" fillId="11" borderId="52" xfId="1" applyFont="1" applyFill="1" applyBorder="1" applyAlignment="1">
      <alignment vertical="center"/>
    </xf>
    <xf numFmtId="0" fontId="30" fillId="11" borderId="53" xfId="1" applyFont="1" applyFill="1" applyBorder="1" applyAlignment="1">
      <alignment horizontal="right"/>
    </xf>
    <xf numFmtId="0" fontId="22" fillId="11" borderId="53" xfId="1" applyFont="1" applyFill="1" applyBorder="1" applyAlignment="1">
      <alignment horizontal="right"/>
    </xf>
    <xf numFmtId="0" fontId="11" fillId="11" borderId="53" xfId="1" applyFont="1" applyFill="1" applyBorder="1" applyAlignment="1"/>
    <xf numFmtId="0" fontId="11" fillId="11" borderId="55" xfId="1" applyFont="1" applyFill="1" applyBorder="1" applyAlignment="1"/>
    <xf numFmtId="0" fontId="23" fillId="12" borderId="138" xfId="1" applyFont="1" applyFill="1" applyBorder="1" applyAlignment="1"/>
    <xf numFmtId="0" fontId="23" fillId="12" borderId="139" xfId="1" applyFont="1" applyFill="1" applyBorder="1" applyAlignment="1"/>
    <xf numFmtId="0" fontId="28" fillId="12" borderId="141" xfId="1" applyFont="1" applyFill="1" applyBorder="1" applyAlignment="1">
      <alignment horizontal="left"/>
    </xf>
    <xf numFmtId="0" fontId="23" fillId="12" borderId="141" xfId="1" applyFont="1" applyFill="1" applyBorder="1" applyAlignment="1"/>
    <xf numFmtId="0" fontId="23" fillId="12" borderId="140" xfId="1" applyFont="1" applyFill="1" applyBorder="1" applyAlignment="1"/>
    <xf numFmtId="0" fontId="23" fillId="12" borderId="142" xfId="1" applyFont="1" applyFill="1" applyBorder="1" applyAlignment="1"/>
    <xf numFmtId="0" fontId="28" fillId="12" borderId="141" xfId="1" applyFont="1" applyFill="1" applyBorder="1"/>
    <xf numFmtId="0" fontId="12" fillId="12" borderId="141" xfId="1" applyFont="1" applyFill="1" applyBorder="1"/>
    <xf numFmtId="0" fontId="12" fillId="12" borderId="141" xfId="1" applyFont="1" applyFill="1" applyBorder="1" applyAlignment="1">
      <alignment vertical="center"/>
    </xf>
    <xf numFmtId="0" fontId="28" fillId="16" borderId="143" xfId="1" applyFont="1" applyFill="1" applyBorder="1"/>
    <xf numFmtId="0" fontId="23" fillId="16" borderId="143" xfId="1" applyFont="1" applyFill="1" applyBorder="1" applyAlignment="1"/>
    <xf numFmtId="0" fontId="29" fillId="16" borderId="143" xfId="1" applyFont="1" applyFill="1" applyBorder="1" applyAlignment="1"/>
    <xf numFmtId="0" fontId="28" fillId="16" borderId="80" xfId="1" applyFont="1" applyFill="1" applyBorder="1"/>
    <xf numFmtId="0" fontId="23" fillId="16" borderId="80" xfId="1" applyFont="1" applyFill="1" applyBorder="1"/>
    <xf numFmtId="0" fontId="12" fillId="16" borderId="80" xfId="1" applyFont="1" applyFill="1" applyBorder="1"/>
    <xf numFmtId="0" fontId="16" fillId="16" borderId="80" xfId="1" applyFont="1" applyFill="1" applyBorder="1"/>
    <xf numFmtId="0" fontId="23" fillId="12" borderId="141" xfId="1" applyFont="1" applyFill="1" applyBorder="1"/>
    <xf numFmtId="0" fontId="16" fillId="12" borderId="141" xfId="1" applyFont="1" applyFill="1" applyBorder="1"/>
    <xf numFmtId="0" fontId="16" fillId="11" borderId="55" xfId="1" applyFont="1" applyFill="1" applyBorder="1"/>
    <xf numFmtId="0" fontId="16" fillId="3" borderId="0" xfId="0" applyFont="1" applyFill="1" applyAlignment="1" applyProtection="1">
      <alignment vertical="center" wrapText="1"/>
      <protection locked="0"/>
    </xf>
    <xf numFmtId="0" fontId="16" fillId="3" borderId="0" xfId="0" applyFont="1" applyFill="1" applyAlignment="1" applyProtection="1">
      <alignment horizontal="center" vertical="center" wrapText="1"/>
      <protection locked="0"/>
    </xf>
    <xf numFmtId="0" fontId="16" fillId="3" borderId="19" xfId="0" applyFont="1" applyFill="1" applyBorder="1" applyAlignment="1" applyProtection="1">
      <alignment vertical="center"/>
      <protection locked="0"/>
    </xf>
    <xf numFmtId="0" fontId="16" fillId="3" borderId="16" xfId="0" applyFont="1" applyFill="1" applyBorder="1" applyAlignment="1" applyProtection="1">
      <alignment vertical="center"/>
      <protection locked="0"/>
    </xf>
    <xf numFmtId="0" fontId="72" fillId="2" borderId="14" xfId="0" applyFont="1" applyFill="1" applyBorder="1"/>
    <xf numFmtId="0" fontId="52" fillId="2" borderId="14" xfId="0" applyFont="1" applyFill="1" applyBorder="1" applyAlignment="1">
      <alignment wrapText="1"/>
    </xf>
    <xf numFmtId="0" fontId="72" fillId="2" borderId="98" xfId="0" applyFont="1" applyFill="1" applyBorder="1"/>
    <xf numFmtId="0" fontId="52" fillId="2" borderId="98" xfId="0" applyFont="1" applyFill="1" applyBorder="1" applyAlignment="1">
      <alignment wrapText="1"/>
    </xf>
    <xf numFmtId="0" fontId="61" fillId="2" borderId="98" xfId="0" applyFont="1" applyFill="1" applyBorder="1" applyAlignment="1">
      <alignment vertical="center" wrapText="1"/>
    </xf>
    <xf numFmtId="0" fontId="33" fillId="2" borderId="0" xfId="0" applyFont="1" applyFill="1" applyAlignment="1">
      <alignment wrapText="1"/>
    </xf>
    <xf numFmtId="0" fontId="23" fillId="2" borderId="0" xfId="0" applyFont="1" applyFill="1" applyAlignment="1">
      <alignment horizontal="right" vertical="center"/>
    </xf>
    <xf numFmtId="0" fontId="11" fillId="8" borderId="23" xfId="0" applyFont="1" applyFill="1" applyBorder="1"/>
    <xf numFmtId="0" fontId="22" fillId="3" borderId="24" xfId="0" applyFont="1" applyFill="1" applyBorder="1" applyAlignment="1" applyProtection="1">
      <alignment wrapText="1"/>
      <protection locked="0"/>
    </xf>
    <xf numFmtId="0" fontId="16" fillId="3" borderId="0" xfId="0" applyFont="1" applyFill="1" applyAlignment="1" applyProtection="1">
      <alignment horizontal="left" wrapText="1"/>
      <protection locked="0"/>
    </xf>
    <xf numFmtId="0" fontId="11" fillId="0" borderId="0" xfId="0" applyFont="1"/>
    <xf numFmtId="0" fontId="16" fillId="3" borderId="17" xfId="0" applyFont="1" applyFill="1" applyBorder="1" applyAlignment="1" applyProtection="1">
      <alignment horizontal="left" wrapText="1"/>
      <protection locked="0"/>
    </xf>
    <xf numFmtId="0" fontId="11" fillId="15" borderId="38" xfId="1" applyFont="1" applyFill="1" applyBorder="1"/>
    <xf numFmtId="0" fontId="11" fillId="8" borderId="14" xfId="0" applyFont="1" applyFill="1" applyBorder="1" applyAlignment="1">
      <alignment horizontal="center"/>
    </xf>
    <xf numFmtId="0" fontId="86" fillId="2" borderId="0" xfId="0" applyFont="1" applyFill="1" applyAlignment="1">
      <alignment horizontal="center" wrapText="1"/>
    </xf>
    <xf numFmtId="0" fontId="16" fillId="13" borderId="15" xfId="1" applyFont="1" applyFill="1" applyBorder="1"/>
    <xf numFmtId="0" fontId="16" fillId="13" borderId="15" xfId="1" applyFont="1" applyFill="1" applyBorder="1" applyAlignment="1">
      <alignment horizontal="left"/>
    </xf>
    <xf numFmtId="171" fontId="23" fillId="13" borderId="0" xfId="1" applyNumberFormat="1" applyFont="1" applyFill="1"/>
    <xf numFmtId="171" fontId="23" fillId="13" borderId="14" xfId="1" applyNumberFormat="1" applyFont="1" applyFill="1" applyBorder="1"/>
    <xf numFmtId="0" fontId="24" fillId="2" borderId="16" xfId="1" applyFont="1" applyFill="1" applyBorder="1"/>
    <xf numFmtId="0" fontId="50" fillId="2" borderId="13" xfId="1" applyFont="1" applyFill="1" applyBorder="1"/>
    <xf numFmtId="0" fontId="11" fillId="3" borderId="19" xfId="0" applyFont="1" applyFill="1" applyBorder="1" applyProtection="1">
      <protection locked="0"/>
    </xf>
    <xf numFmtId="170" fontId="11" fillId="3" borderId="19" xfId="6" applyNumberFormat="1" applyFont="1" applyFill="1" applyBorder="1" applyProtection="1">
      <protection locked="0"/>
    </xf>
    <xf numFmtId="170" fontId="11" fillId="3" borderId="17" xfId="6" applyNumberFormat="1" applyFont="1" applyFill="1" applyBorder="1" applyProtection="1">
      <protection locked="0"/>
    </xf>
    <xf numFmtId="0" fontId="19" fillId="13" borderId="15" xfId="1" applyFill="1" applyBorder="1" applyAlignment="1">
      <alignment horizontal="left"/>
    </xf>
    <xf numFmtId="0" fontId="19" fillId="13" borderId="15" xfId="1" applyFill="1" applyBorder="1" applyAlignment="1">
      <alignment horizontal="left" vertical="center" wrapText="1"/>
    </xf>
    <xf numFmtId="0" fontId="16" fillId="3" borderId="0" xfId="0" applyFont="1" applyFill="1" applyAlignment="1" applyProtection="1">
      <alignment horizontal="right" vertical="center" wrapText="1"/>
      <protection locked="0"/>
    </xf>
    <xf numFmtId="0" fontId="11" fillId="16" borderId="0" xfId="0" applyFont="1" applyFill="1"/>
    <xf numFmtId="0" fontId="11" fillId="16" borderId="19" xfId="0" applyFont="1" applyFill="1" applyBorder="1" applyAlignment="1">
      <alignment horizontal="left" vertical="center"/>
    </xf>
    <xf numFmtId="0" fontId="11" fillId="3" borderId="0" xfId="0" applyFont="1" applyFill="1" applyAlignment="1" applyProtection="1">
      <alignment horizontal="center" vertical="center"/>
      <protection locked="0"/>
    </xf>
    <xf numFmtId="0" fontId="11" fillId="2" borderId="0" xfId="0" applyFont="1" applyFill="1" applyAlignment="1">
      <alignment horizontal="left" vertical="center"/>
    </xf>
    <xf numFmtId="0" fontId="22" fillId="2" borderId="12" xfId="1" applyFont="1" applyFill="1" applyBorder="1" applyAlignment="1">
      <alignment horizontal="right"/>
    </xf>
    <xf numFmtId="0" fontId="20" fillId="2" borderId="13" xfId="1" applyFont="1" applyFill="1" applyBorder="1" applyAlignment="1">
      <alignment wrapText="1"/>
    </xf>
    <xf numFmtId="170" fontId="19" fillId="13" borderId="0" xfId="6" applyNumberFormat="1" applyFont="1" applyFill="1"/>
    <xf numFmtId="170" fontId="19" fillId="13" borderId="14" xfId="6" applyNumberFormat="1" applyFont="1" applyFill="1" applyBorder="1"/>
    <xf numFmtId="0" fontId="16" fillId="17" borderId="0" xfId="0" applyFont="1" applyFill="1"/>
    <xf numFmtId="0" fontId="16" fillId="17" borderId="14" xfId="0" applyFont="1" applyFill="1" applyBorder="1"/>
    <xf numFmtId="0" fontId="22" fillId="2" borderId="0" xfId="0" applyFont="1" applyFill="1" applyBorder="1" applyAlignment="1">
      <alignment horizontal="right"/>
    </xf>
    <xf numFmtId="169" fontId="15" fillId="2" borderId="5" xfId="0" applyNumberFormat="1" applyFont="1" applyFill="1" applyBorder="1"/>
    <xf numFmtId="0" fontId="28" fillId="2" borderId="5" xfId="0" applyFont="1" applyFill="1" applyBorder="1"/>
    <xf numFmtId="0" fontId="11" fillId="2" borderId="93" xfId="1" applyFont="1" applyFill="1" applyBorder="1"/>
    <xf numFmtId="0" fontId="92" fillId="2" borderId="4" xfId="0" applyFont="1" applyFill="1" applyBorder="1"/>
    <xf numFmtId="0" fontId="72" fillId="2" borderId="4" xfId="0" applyFont="1" applyFill="1" applyBorder="1" applyAlignment="1"/>
    <xf numFmtId="0" fontId="25" fillId="2" borderId="4" xfId="0" applyFont="1" applyFill="1" applyBorder="1" applyAlignment="1">
      <alignment vertical="top"/>
    </xf>
    <xf numFmtId="0" fontId="25" fillId="2" borderId="0" xfId="0" applyFont="1" applyFill="1"/>
    <xf numFmtId="0" fontId="25" fillId="2" borderId="0" xfId="0" applyFont="1" applyFill="1" applyAlignment="1">
      <alignment horizontal="left"/>
    </xf>
    <xf numFmtId="0" fontId="25" fillId="17" borderId="14" xfId="0" applyFont="1" applyFill="1" applyBorder="1"/>
    <xf numFmtId="0" fontId="72" fillId="2" borderId="4" xfId="0" applyFont="1" applyFill="1" applyBorder="1" applyAlignment="1">
      <alignment vertical="top" wrapText="1"/>
    </xf>
    <xf numFmtId="0" fontId="10" fillId="2" borderId="0" xfId="0" applyFont="1" applyFill="1"/>
    <xf numFmtId="0" fontId="10" fillId="10" borderId="30" xfId="0" applyFont="1" applyFill="1" applyBorder="1"/>
    <xf numFmtId="0" fontId="73" fillId="2" borderId="24" xfId="0" applyFont="1" applyFill="1" applyBorder="1" applyAlignment="1">
      <alignment vertical="center"/>
    </xf>
    <xf numFmtId="0" fontId="16" fillId="2" borderId="0" xfId="0" applyFont="1" applyFill="1" applyBorder="1"/>
    <xf numFmtId="0" fontId="22" fillId="10" borderId="24" xfId="0" applyFont="1" applyFill="1" applyBorder="1" applyAlignment="1">
      <alignment wrapText="1"/>
    </xf>
    <xf numFmtId="0" fontId="22" fillId="2" borderId="0" xfId="0" applyFont="1" applyFill="1" applyBorder="1"/>
    <xf numFmtId="0" fontId="28" fillId="2" borderId="0" xfId="0" applyFont="1" applyFill="1" applyBorder="1" applyAlignment="1">
      <alignment vertical="center"/>
    </xf>
    <xf numFmtId="0" fontId="16" fillId="2" borderId="0" xfId="0" applyFont="1" applyFill="1" applyBorder="1" applyAlignment="1">
      <alignment horizontal="right"/>
    </xf>
    <xf numFmtId="0" fontId="10" fillId="2" borderId="0" xfId="0" applyFont="1" applyFill="1" applyBorder="1" applyAlignment="1">
      <alignment horizontal="right"/>
    </xf>
    <xf numFmtId="0" fontId="11" fillId="10" borderId="134" xfId="0" applyNumberFormat="1" applyFont="1" applyFill="1" applyBorder="1"/>
    <xf numFmtId="0" fontId="16" fillId="4" borderId="98" xfId="0" applyFont="1" applyFill="1" applyBorder="1"/>
    <xf numFmtId="0" fontId="11" fillId="2" borderId="98" xfId="0" applyFont="1" applyFill="1" applyBorder="1" applyAlignment="1">
      <alignment wrapText="1"/>
    </xf>
    <xf numFmtId="0" fontId="72" fillId="2" borderId="14" xfId="0" applyFont="1" applyFill="1" applyBorder="1" applyAlignment="1">
      <alignment wrapText="1"/>
    </xf>
    <xf numFmtId="0" fontId="86" fillId="2" borderId="0" xfId="0" applyFont="1" applyFill="1" applyAlignment="1">
      <alignment vertical="center" wrapText="1"/>
    </xf>
    <xf numFmtId="0" fontId="16" fillId="8" borderId="24" xfId="0" applyFont="1" applyFill="1" applyBorder="1" applyAlignment="1">
      <alignment horizontal="right" vertical="center"/>
    </xf>
    <xf numFmtId="0" fontId="16" fillId="10" borderId="134" xfId="0" applyFont="1" applyFill="1" applyBorder="1" applyAlignment="1">
      <alignment horizontal="right" vertical="center"/>
    </xf>
    <xf numFmtId="0" fontId="16" fillId="10" borderId="7" xfId="0" applyFont="1" applyFill="1" applyBorder="1" applyAlignment="1">
      <alignment horizontal="right" vertical="center"/>
    </xf>
    <xf numFmtId="0" fontId="28" fillId="10" borderId="24" xfId="0" applyFont="1" applyFill="1" applyBorder="1" applyAlignment="1">
      <alignment horizontal="right" vertical="center"/>
    </xf>
    <xf numFmtId="0" fontId="22" fillId="10" borderId="24" xfId="0" applyFont="1" applyFill="1" applyBorder="1" applyAlignment="1">
      <alignment horizontal="right"/>
    </xf>
    <xf numFmtId="0" fontId="22" fillId="10" borderId="31" xfId="0" applyFont="1" applyFill="1" applyBorder="1"/>
    <xf numFmtId="0" fontId="22" fillId="2" borderId="7" xfId="0" applyFont="1" applyFill="1" applyBorder="1" applyAlignment="1">
      <alignment horizontal="right"/>
    </xf>
    <xf numFmtId="0" fontId="16" fillId="2" borderId="21" xfId="0" applyFont="1" applyFill="1" applyBorder="1"/>
    <xf numFmtId="0" fontId="16" fillId="2" borderId="21" xfId="0" applyFont="1" applyFill="1" applyBorder="1" applyAlignment="1">
      <alignment horizontal="right"/>
    </xf>
    <xf numFmtId="0" fontId="22" fillId="2" borderId="7" xfId="0" applyFont="1" applyFill="1" applyBorder="1" applyAlignment="1">
      <alignment horizontal="right" vertical="center"/>
    </xf>
    <xf numFmtId="0" fontId="22" fillId="2" borderId="14" xfId="0" applyFont="1" applyFill="1" applyBorder="1" applyAlignment="1">
      <alignment horizontal="right"/>
    </xf>
    <xf numFmtId="0" fontId="22" fillId="2" borderId="20" xfId="0" applyFont="1" applyFill="1" applyBorder="1" applyAlignment="1">
      <alignment wrapText="1"/>
    </xf>
    <xf numFmtId="0" fontId="22" fillId="2" borderId="24" xfId="0" applyFont="1" applyFill="1" applyBorder="1" applyAlignment="1">
      <alignment wrapText="1"/>
    </xf>
    <xf numFmtId="44" fontId="23" fillId="10" borderId="24" xfId="4" applyFont="1" applyFill="1" applyBorder="1" applyProtection="1"/>
    <xf numFmtId="44" fontId="23" fillId="10" borderId="30" xfId="4" applyFont="1" applyFill="1" applyBorder="1" applyProtection="1"/>
    <xf numFmtId="44" fontId="28" fillId="10" borderId="30" xfId="4" applyFont="1" applyFill="1" applyBorder="1" applyProtection="1"/>
    <xf numFmtId="44" fontId="28" fillId="10" borderId="117" xfId="4" applyFont="1" applyFill="1" applyBorder="1"/>
    <xf numFmtId="44" fontId="28" fillId="10" borderId="31" xfId="4" applyFont="1" applyFill="1" applyBorder="1"/>
    <xf numFmtId="44" fontId="23" fillId="10" borderId="31" xfId="4" applyFont="1" applyFill="1" applyBorder="1" applyProtection="1"/>
    <xf numFmtId="0" fontId="33" fillId="2" borderId="18" xfId="0" applyFont="1" applyFill="1" applyBorder="1" applyAlignment="1">
      <alignment vertical="center" wrapText="1"/>
    </xf>
    <xf numFmtId="0" fontId="20" fillId="2" borderId="0" xfId="0" applyFont="1" applyFill="1" applyAlignment="1">
      <alignment horizontal="left" vertical="top" wrapText="1"/>
    </xf>
    <xf numFmtId="0" fontId="77" fillId="2" borderId="7" xfId="0" applyFont="1" applyFill="1" applyBorder="1" applyAlignment="1">
      <alignment horizontal="left" vertical="top" wrapText="1"/>
    </xf>
    <xf numFmtId="0" fontId="16" fillId="2" borderId="0" xfId="0" applyFont="1" applyFill="1" applyAlignment="1">
      <alignment horizontal="left" vertical="top" wrapText="1"/>
    </xf>
    <xf numFmtId="0" fontId="77" fillId="2" borderId="0" xfId="0" applyFont="1" applyFill="1" applyAlignment="1">
      <alignment horizontal="left" wrapText="1"/>
    </xf>
    <xf numFmtId="0" fontId="23" fillId="2" borderId="0" xfId="0" applyFont="1" applyFill="1" applyAlignment="1">
      <alignment horizontal="left" vertical="top" wrapText="1"/>
    </xf>
    <xf numFmtId="0" fontId="44" fillId="10" borderId="100" xfId="0" applyFont="1" applyFill="1" applyBorder="1" applyAlignment="1">
      <alignment horizontal="left" vertical="top" wrapText="1"/>
    </xf>
    <xf numFmtId="0" fontId="16" fillId="2" borderId="100" xfId="0" applyFont="1" applyFill="1" applyBorder="1" applyAlignment="1">
      <alignment horizontal="left" vertical="top" wrapText="1"/>
    </xf>
    <xf numFmtId="0" fontId="16" fillId="2" borderId="103" xfId="0" applyFont="1" applyFill="1" applyBorder="1" applyAlignment="1">
      <alignment horizontal="left" vertical="top" wrapText="1"/>
    </xf>
    <xf numFmtId="0" fontId="45" fillId="16" borderId="105" xfId="0" applyFont="1" applyFill="1" applyBorder="1" applyAlignment="1">
      <alignment horizontal="left" vertical="top" wrapText="1"/>
    </xf>
    <xf numFmtId="0" fontId="10" fillId="2" borderId="106" xfId="0" applyFont="1" applyFill="1" applyBorder="1" applyAlignment="1">
      <alignment horizontal="left" vertical="top" wrapText="1"/>
    </xf>
    <xf numFmtId="0" fontId="45" fillId="11" borderId="108" xfId="0" applyFont="1" applyFill="1" applyBorder="1" applyAlignment="1">
      <alignment horizontal="left" vertical="top" wrapText="1"/>
    </xf>
    <xf numFmtId="0" fontId="23" fillId="2" borderId="109" xfId="0" applyFont="1" applyFill="1" applyBorder="1" applyAlignment="1">
      <alignment horizontal="left" vertical="top" wrapText="1"/>
    </xf>
    <xf numFmtId="0" fontId="23" fillId="2" borderId="110" xfId="0" applyFont="1" applyFill="1" applyBorder="1" applyAlignment="1">
      <alignment horizontal="left" vertical="top" wrapText="1"/>
    </xf>
    <xf numFmtId="0" fontId="44" fillId="13" borderId="111" xfId="0" applyFont="1" applyFill="1" applyBorder="1" applyAlignment="1">
      <alignment horizontal="left" vertical="top" wrapText="1"/>
    </xf>
    <xf numFmtId="0" fontId="23" fillId="2" borderId="112" xfId="0" applyFont="1" applyFill="1" applyBorder="1" applyAlignment="1">
      <alignment horizontal="left" vertical="top" wrapText="1"/>
    </xf>
    <xf numFmtId="0" fontId="23" fillId="2" borderId="113" xfId="0" applyFont="1" applyFill="1" applyBorder="1" applyAlignment="1">
      <alignment horizontal="left" vertical="top" wrapText="1"/>
    </xf>
    <xf numFmtId="0" fontId="45" fillId="2" borderId="114" xfId="0" applyFont="1" applyFill="1" applyBorder="1" applyAlignment="1">
      <alignment horizontal="left" vertical="top" wrapText="1"/>
    </xf>
    <xf numFmtId="0" fontId="23" fillId="2" borderId="115" xfId="0" applyFont="1" applyFill="1" applyBorder="1" applyAlignment="1">
      <alignment horizontal="left" vertical="top" wrapText="1"/>
    </xf>
    <xf numFmtId="0" fontId="23" fillId="2" borderId="116" xfId="0" applyFont="1" applyFill="1" applyBorder="1" applyAlignment="1">
      <alignment horizontal="left" vertical="top" wrapText="1"/>
    </xf>
    <xf numFmtId="0" fontId="18" fillId="2" borderId="0" xfId="0" applyFont="1" applyFill="1" applyAlignment="1">
      <alignment horizontal="left" vertical="top" wrapText="1"/>
    </xf>
    <xf numFmtId="0" fontId="45" fillId="12" borderId="102" xfId="0" applyFont="1" applyFill="1" applyBorder="1" applyAlignment="1">
      <alignment horizontal="left" vertical="top" wrapText="1"/>
    </xf>
    <xf numFmtId="0" fontId="23" fillId="2" borderId="14" xfId="0" applyFont="1" applyFill="1" applyBorder="1" applyAlignment="1">
      <alignment horizontal="left" vertical="top" wrapText="1" indent="2"/>
    </xf>
    <xf numFmtId="0" fontId="23" fillId="11" borderId="98" xfId="0" applyFont="1" applyFill="1" applyBorder="1" applyAlignment="1">
      <alignment horizontal="left" vertical="top" wrapText="1" indent="2"/>
    </xf>
    <xf numFmtId="0" fontId="23" fillId="2" borderId="98" xfId="0" applyFont="1" applyFill="1" applyBorder="1" applyAlignment="1">
      <alignment horizontal="left" vertical="top" wrapText="1" indent="2"/>
    </xf>
    <xf numFmtId="170" fontId="23" fillId="13" borderId="22" xfId="6" applyNumberFormat="1" applyFont="1" applyFill="1" applyBorder="1"/>
    <xf numFmtId="170" fontId="19" fillId="13" borderId="17" xfId="6" applyNumberFormat="1" applyFont="1" applyFill="1" applyBorder="1"/>
    <xf numFmtId="170" fontId="19" fillId="13" borderId="15" xfId="6" applyNumberFormat="1" applyFont="1" applyFill="1" applyBorder="1" applyAlignment="1">
      <alignment horizontal="left" vertical="center" wrapText="1"/>
    </xf>
    <xf numFmtId="43" fontId="19" fillId="13" borderId="15" xfId="6" applyFont="1" applyFill="1" applyBorder="1" applyAlignment="1">
      <alignment horizontal="right" vertical="center" wrapText="1"/>
    </xf>
    <xf numFmtId="170" fontId="19" fillId="13" borderId="15" xfId="6" applyNumberFormat="1" applyFont="1" applyFill="1" applyBorder="1" applyAlignment="1">
      <alignment horizontal="right" vertical="center" wrapText="1"/>
    </xf>
    <xf numFmtId="43" fontId="21" fillId="13" borderId="0" xfId="6" applyFont="1" applyFill="1"/>
    <xf numFmtId="43" fontId="21" fillId="13" borderId="17" xfId="6" applyFont="1" applyFill="1" applyBorder="1"/>
    <xf numFmtId="43" fontId="23" fillId="13" borderId="0" xfId="6" applyFont="1" applyFill="1"/>
    <xf numFmtId="0" fontId="22" fillId="2" borderId="17" xfId="1" applyFont="1" applyFill="1" applyBorder="1" applyAlignment="1">
      <alignment horizontal="center"/>
    </xf>
    <xf numFmtId="170" fontId="19" fillId="13" borderId="15" xfId="6" applyNumberFormat="1" applyFont="1" applyFill="1" applyBorder="1"/>
    <xf numFmtId="170" fontId="21" fillId="13" borderId="17" xfId="6" applyNumberFormat="1" applyFont="1" applyFill="1" applyBorder="1"/>
    <xf numFmtId="170" fontId="16" fillId="13" borderId="15" xfId="6" applyNumberFormat="1" applyFont="1" applyFill="1" applyBorder="1" applyAlignment="1">
      <alignment horizontal="right"/>
    </xf>
    <xf numFmtId="43" fontId="16" fillId="13" borderId="14" xfId="6" applyFont="1" applyFill="1" applyBorder="1" applyAlignment="1">
      <alignment horizontal="left" vertical="center" wrapText="1"/>
    </xf>
    <xf numFmtId="43" fontId="19" fillId="13" borderId="0" xfId="6" applyFont="1" applyFill="1"/>
    <xf numFmtId="43" fontId="23" fillId="13" borderId="14" xfId="6" applyFont="1" applyFill="1" applyBorder="1"/>
    <xf numFmtId="43" fontId="23" fillId="13" borderId="17" xfId="6" applyFont="1" applyFill="1" applyBorder="1"/>
    <xf numFmtId="43" fontId="23" fillId="13" borderId="15" xfId="6" applyFont="1" applyFill="1" applyBorder="1"/>
    <xf numFmtId="0" fontId="23" fillId="8" borderId="98" xfId="0" applyFont="1" applyFill="1" applyBorder="1" applyAlignment="1">
      <alignment horizontal="left" vertical="top" wrapText="1" indent="2"/>
    </xf>
    <xf numFmtId="0" fontId="10" fillId="2" borderId="104" xfId="0" applyFont="1" applyFill="1" applyBorder="1" applyAlignment="1">
      <alignment horizontal="left" vertical="top" wrapText="1"/>
    </xf>
    <xf numFmtId="0" fontId="96" fillId="2" borderId="134" xfId="0" applyFont="1" applyFill="1" applyBorder="1" applyAlignment="1">
      <alignment horizontal="left" vertical="top" wrapText="1"/>
    </xf>
    <xf numFmtId="0" fontId="10" fillId="2" borderId="101" xfId="0" applyFont="1" applyFill="1" applyBorder="1" applyAlignment="1">
      <alignment horizontal="left" vertical="top" wrapText="1"/>
    </xf>
    <xf numFmtId="170" fontId="16" fillId="3" borderId="24" xfId="6" applyNumberFormat="1" applyFont="1" applyFill="1" applyBorder="1" applyAlignment="1" applyProtection="1">
      <alignment vertical="center" wrapText="1"/>
      <protection locked="0"/>
    </xf>
    <xf numFmtId="43" fontId="16" fillId="3" borderId="0" xfId="6" applyNumberFormat="1" applyFont="1" applyFill="1" applyAlignment="1" applyProtection="1">
      <alignment wrapText="1"/>
      <protection locked="0"/>
    </xf>
    <xf numFmtId="0" fontId="52" fillId="2" borderId="0" xfId="0" applyFont="1" applyFill="1" applyAlignment="1">
      <alignment vertical="center" wrapText="1"/>
    </xf>
    <xf numFmtId="0" fontId="33" fillId="2" borderId="0" xfId="0" applyFont="1" applyFill="1" applyAlignment="1">
      <alignment vertical="top" wrapText="1"/>
    </xf>
    <xf numFmtId="0" fontId="61" fillId="2" borderId="0" xfId="0" applyFont="1" applyFill="1" applyAlignment="1">
      <alignment vertical="top" wrapText="1"/>
    </xf>
    <xf numFmtId="0" fontId="10" fillId="2" borderId="107" xfId="0" applyFont="1" applyFill="1" applyBorder="1" applyAlignment="1">
      <alignment horizontal="left" vertical="top" wrapText="1"/>
    </xf>
    <xf numFmtId="0" fontId="9" fillId="2" borderId="106" xfId="0" applyFont="1" applyFill="1" applyBorder="1" applyAlignment="1">
      <alignment horizontal="left" vertical="top" wrapText="1"/>
    </xf>
    <xf numFmtId="0" fontId="9" fillId="0" borderId="0" xfId="0" applyFont="1"/>
    <xf numFmtId="0" fontId="9" fillId="2" borderId="0" xfId="0" applyFont="1" applyFill="1" applyAlignment="1">
      <alignment vertical="top" wrapText="1"/>
    </xf>
    <xf numFmtId="0" fontId="8" fillId="4" borderId="0" xfId="0" applyFont="1" applyFill="1" applyAlignment="1">
      <alignment horizontal="left" vertical="top" wrapText="1" indent="2"/>
    </xf>
    <xf numFmtId="0" fontId="7" fillId="2" borderId="106" xfId="0" applyFont="1" applyFill="1" applyBorder="1" applyAlignment="1">
      <alignment horizontal="left" vertical="top" wrapText="1"/>
    </xf>
    <xf numFmtId="0" fontId="7" fillId="2" borderId="107" xfId="0" applyFont="1" applyFill="1" applyBorder="1" applyAlignment="1">
      <alignment horizontal="left" vertical="top" wrapText="1"/>
    </xf>
    <xf numFmtId="0" fontId="7" fillId="2" borderId="104" xfId="0" applyFont="1" applyFill="1" applyBorder="1" applyAlignment="1">
      <alignment horizontal="left" vertical="top" wrapText="1"/>
    </xf>
    <xf numFmtId="0" fontId="7" fillId="2" borderId="4" xfId="0" applyFont="1" applyFill="1" applyBorder="1"/>
    <xf numFmtId="2" fontId="7" fillId="9" borderId="39" xfId="1" applyNumberFormat="1" applyFont="1" applyFill="1" applyBorder="1"/>
    <xf numFmtId="0" fontId="28" fillId="0" borderId="0" xfId="1" applyFont="1" applyFill="1" applyAlignment="1">
      <alignment horizontal="right"/>
    </xf>
    <xf numFmtId="169" fontId="23" fillId="0" borderId="0" xfId="4" applyNumberFormat="1" applyFont="1" applyFill="1" applyAlignment="1" applyProtection="1">
      <alignment vertical="center" wrapText="1"/>
    </xf>
    <xf numFmtId="0" fontId="29" fillId="0" borderId="0" xfId="1" applyFont="1" applyFill="1"/>
    <xf numFmtId="0" fontId="12" fillId="0" borderId="0" xfId="1" applyFont="1" applyFill="1" applyAlignment="1">
      <alignment vertical="center"/>
    </xf>
    <xf numFmtId="169" fontId="23" fillId="0" borderId="0" xfId="4" applyNumberFormat="1" applyFont="1" applyFill="1" applyAlignment="1" applyProtection="1"/>
    <xf numFmtId="0" fontId="11" fillId="0" borderId="0" xfId="1" applyFont="1" applyFill="1" applyAlignment="1"/>
    <xf numFmtId="0" fontId="23" fillId="0" borderId="0" xfId="1" applyFont="1" applyFill="1" applyBorder="1"/>
    <xf numFmtId="44" fontId="16" fillId="8" borderId="24" xfId="4" applyFont="1" applyFill="1" applyBorder="1" applyAlignment="1">
      <alignment horizontal="right" vertical="center"/>
    </xf>
    <xf numFmtId="0" fontId="26" fillId="8" borderId="132" xfId="3" quotePrefix="1" applyFill="1" applyBorder="1" applyAlignment="1">
      <alignment horizontal="left" indent="1"/>
    </xf>
    <xf numFmtId="0" fontId="26" fillId="8" borderId="133" xfId="3" quotePrefix="1" applyFill="1" applyBorder="1" applyAlignment="1">
      <alignment horizontal="left" indent="1"/>
    </xf>
    <xf numFmtId="0" fontId="26" fillId="10" borderId="132" xfId="3" quotePrefix="1" applyFill="1" applyBorder="1" applyAlignment="1">
      <alignment horizontal="left" indent="1"/>
    </xf>
    <xf numFmtId="0" fontId="26" fillId="10" borderId="133" xfId="3" quotePrefix="1" applyFill="1" applyBorder="1" applyAlignment="1">
      <alignment horizontal="left" indent="1"/>
    </xf>
    <xf numFmtId="0" fontId="26" fillId="12" borderId="132" xfId="3" quotePrefix="1" applyFill="1" applyBorder="1" applyAlignment="1">
      <alignment horizontal="left" indent="1"/>
    </xf>
    <xf numFmtId="0" fontId="26" fillId="12" borderId="133" xfId="3" quotePrefix="1" applyFill="1" applyBorder="1" applyAlignment="1">
      <alignment horizontal="left" indent="1"/>
    </xf>
    <xf numFmtId="0" fontId="26" fillId="8" borderId="130" xfId="3" applyFill="1" applyBorder="1" applyAlignment="1">
      <alignment horizontal="left" indent="1"/>
    </xf>
    <xf numFmtId="0" fontId="26" fillId="14" borderId="132" xfId="3" quotePrefix="1" applyFill="1" applyBorder="1" applyAlignment="1">
      <alignment horizontal="left" indent="1"/>
    </xf>
    <xf numFmtId="0" fontId="26" fillId="14" borderId="133" xfId="3" quotePrefix="1" applyFill="1" applyBorder="1" applyAlignment="1">
      <alignment horizontal="left" indent="1"/>
    </xf>
    <xf numFmtId="0" fontId="26" fillId="11" borderId="132" xfId="3" quotePrefix="1" applyFill="1" applyBorder="1" applyAlignment="1">
      <alignment horizontal="left" indent="1"/>
    </xf>
    <xf numFmtId="0" fontId="26" fillId="11" borderId="133" xfId="3" quotePrefix="1" applyFill="1" applyBorder="1" applyAlignment="1">
      <alignment horizontal="left" indent="1"/>
    </xf>
    <xf numFmtId="0" fontId="26" fillId="13" borderId="132" xfId="3" quotePrefix="1" applyFill="1" applyBorder="1" applyAlignment="1">
      <alignment horizontal="left" indent="1"/>
    </xf>
    <xf numFmtId="0" fontId="26" fillId="13" borderId="133" xfId="3" quotePrefix="1" applyFill="1" applyBorder="1" applyAlignment="1">
      <alignment horizontal="left" indent="1"/>
    </xf>
    <xf numFmtId="0" fontId="26" fillId="2" borderId="132" xfId="3" quotePrefix="1" applyFill="1" applyBorder="1" applyAlignment="1">
      <alignment horizontal="left" indent="1"/>
    </xf>
    <xf numFmtId="0" fontId="26" fillId="2" borderId="0" xfId="3" applyFill="1"/>
    <xf numFmtId="0" fontId="6" fillId="2" borderId="0" xfId="0" applyFont="1" applyFill="1" applyAlignment="1">
      <alignment vertical="top" wrapText="1"/>
    </xf>
    <xf numFmtId="0" fontId="18" fillId="2" borderId="0" xfId="0" applyFont="1" applyFill="1" applyAlignment="1">
      <alignment vertical="top" wrapText="1"/>
    </xf>
    <xf numFmtId="0" fontId="26" fillId="2" borderId="0" xfId="3" applyFill="1" applyAlignment="1">
      <alignment vertical="top" wrapText="1"/>
    </xf>
    <xf numFmtId="0" fontId="26" fillId="2" borderId="0" xfId="3" applyFill="1" applyAlignment="1">
      <alignment vertical="top"/>
    </xf>
    <xf numFmtId="0" fontId="26" fillId="2" borderId="0" xfId="3" applyFill="1" applyAlignment="1">
      <alignment horizontal="right"/>
    </xf>
    <xf numFmtId="49" fontId="5" fillId="2" borderId="0" xfId="0" applyNumberFormat="1" applyFont="1" applyFill="1" applyAlignment="1">
      <alignment wrapText="1"/>
    </xf>
    <xf numFmtId="0" fontId="9" fillId="5" borderId="0" xfId="0" applyFont="1" applyFill="1" applyAlignment="1">
      <alignment vertical="top" wrapText="1"/>
    </xf>
    <xf numFmtId="0" fontId="23" fillId="5" borderId="0" xfId="3" applyFont="1" applyFill="1" applyAlignment="1">
      <alignment wrapText="1"/>
    </xf>
    <xf numFmtId="0" fontId="5" fillId="2" borderId="101" xfId="0" applyFont="1" applyFill="1" applyBorder="1" applyAlignment="1">
      <alignment horizontal="left" vertical="top" wrapText="1"/>
    </xf>
    <xf numFmtId="0" fontId="5" fillId="12" borderId="0" xfId="0" applyFont="1" applyFill="1" applyAlignment="1">
      <alignment horizontal="right"/>
    </xf>
    <xf numFmtId="0" fontId="5" fillId="2" borderId="104" xfId="0" applyFont="1" applyFill="1" applyBorder="1" applyAlignment="1">
      <alignment horizontal="left" vertical="top" wrapText="1"/>
    </xf>
    <xf numFmtId="0" fontId="5" fillId="2" borderId="14" xfId="1" applyFont="1" applyFill="1" applyBorder="1" applyAlignment="1">
      <alignment horizontal="right"/>
    </xf>
    <xf numFmtId="0" fontId="5" fillId="2" borderId="0" xfId="0" applyFont="1" applyFill="1" applyAlignment="1">
      <alignment wrapText="1"/>
    </xf>
    <xf numFmtId="0" fontId="5" fillId="2" borderId="0" xfId="0" applyFont="1" applyFill="1" applyAlignment="1">
      <alignment horizontal="right"/>
    </xf>
    <xf numFmtId="0" fontId="5" fillId="0" borderId="32" xfId="1" applyFont="1" applyBorder="1"/>
    <xf numFmtId="0" fontId="4" fillId="8" borderId="0" xfId="0" applyFont="1" applyFill="1" applyAlignment="1">
      <alignment wrapText="1"/>
    </xf>
    <xf numFmtId="0" fontId="4" fillId="8" borderId="13" xfId="0" applyFont="1" applyFill="1" applyBorder="1"/>
    <xf numFmtId="0" fontId="4" fillId="3" borderId="17" xfId="0" applyFont="1" applyFill="1" applyBorder="1" applyAlignment="1" applyProtection="1">
      <alignment wrapText="1"/>
      <protection locked="0"/>
    </xf>
    <xf numFmtId="0" fontId="3" fillId="3" borderId="4" xfId="0" applyFont="1" applyFill="1" applyBorder="1" applyAlignment="1" applyProtection="1">
      <alignment wrapText="1"/>
      <protection locked="0"/>
    </xf>
    <xf numFmtId="0" fontId="2" fillId="3" borderId="19" xfId="0" applyFont="1" applyFill="1" applyBorder="1" applyAlignment="1" applyProtection="1">
      <alignment wrapText="1"/>
      <protection locked="0"/>
    </xf>
    <xf numFmtId="0" fontId="20" fillId="2" borderId="0" xfId="1" applyFont="1" applyFill="1" applyAlignment="1">
      <alignment horizontal="left" vertical="center" wrapText="1"/>
    </xf>
    <xf numFmtId="0" fontId="22" fillId="13" borderId="0" xfId="1" applyFont="1" applyFill="1" applyAlignment="1">
      <alignment horizontal="center" vertical="center" textRotation="255"/>
    </xf>
    <xf numFmtId="0" fontId="22" fillId="11" borderId="0" xfId="1" applyFont="1" applyFill="1" applyAlignment="1">
      <alignment horizontal="center" vertical="center" textRotation="255"/>
    </xf>
    <xf numFmtId="0" fontId="22" fillId="10" borderId="0" xfId="1" applyFont="1" applyFill="1" applyAlignment="1">
      <alignment horizontal="center" vertical="center" textRotation="255"/>
    </xf>
    <xf numFmtId="0" fontId="22" fillId="10" borderId="0" xfId="1" applyFont="1" applyFill="1" applyAlignment="1">
      <alignment horizontal="center" vertical="center" textRotation="255" wrapText="1"/>
    </xf>
    <xf numFmtId="0" fontId="1" fillId="8" borderId="14" xfId="0" applyFont="1" applyFill="1" applyBorder="1" applyAlignment="1">
      <alignment horizontal="center"/>
    </xf>
    <xf numFmtId="0" fontId="11" fillId="11" borderId="98" xfId="1" applyFont="1" applyFill="1" applyBorder="1" applyAlignment="1">
      <alignment wrapText="1"/>
    </xf>
  </cellXfs>
  <cellStyles count="8">
    <cellStyle name="Komma" xfId="6" builtinId="3"/>
    <cellStyle name="Link" xfId="3" builtinId="8"/>
    <cellStyle name="Prozent" xfId="7" builtinId="5"/>
    <cellStyle name="Prozent 2" xfId="2" xr:uid="{00000000-0005-0000-0000-000003000000}"/>
    <cellStyle name="Standard" xfId="0" builtinId="0"/>
    <cellStyle name="Standard 2" xfId="1" xr:uid="{00000000-0005-0000-0000-000005000000}"/>
    <cellStyle name="Währung" xfId="4" builtinId="4"/>
    <cellStyle name="Währung 2" xfId="5" xr:uid="{00000000-0005-0000-0000-000007000000}"/>
  </cellStyles>
  <dxfs count="131">
    <dxf>
      <font>
        <b val="0"/>
        <i val="0"/>
        <strike val="0"/>
        <condense val="0"/>
        <extend val="0"/>
        <outline val="0"/>
        <shadow val="0"/>
        <u val="none"/>
        <vertAlign val="baseline"/>
        <sz val="11"/>
        <color theme="1"/>
        <name val="Calibri"/>
        <family val="2"/>
        <scheme val="minor"/>
      </font>
      <numFmt numFmtId="2" formatCode="0.00"/>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rgb="FFFF0000"/>
        <name val="Calibri"/>
        <family val="2"/>
        <scheme val="minor"/>
      </font>
      <numFmt numFmtId="0" formatCode="General"/>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border outline="0">
        <top style="thin">
          <color theme="9"/>
        </top>
      </border>
    </dxf>
    <dxf>
      <border outline="0">
        <top style="thin">
          <color theme="4"/>
        </top>
        <bottom style="thin">
          <color theme="9"/>
        </bottom>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alignment horizontal="general" vertical="bottom" textRotation="0" wrapText="0" indent="0" justifyLastLine="0" shrinkToFit="0" readingOrder="0"/>
    </dxf>
    <dxf>
      <font>
        <b/>
        <i val="0"/>
        <strike val="0"/>
        <condense val="0"/>
        <extend val="0"/>
        <outline val="0"/>
        <shadow val="0"/>
        <u val="none"/>
        <vertAlign val="baseline"/>
        <sz val="12"/>
        <color auto="1"/>
        <name val="Calibri"/>
        <family val="2"/>
        <scheme val="minor"/>
      </font>
      <numFmt numFmtId="0" formatCode="General"/>
      <fill>
        <patternFill patternType="solid">
          <fgColor indexed="64"/>
          <bgColor theme="0"/>
        </patternFill>
      </fill>
      <alignment horizontal="general" vertical="bottom" textRotation="0" wrapText="0" indent="0" justifyLastLine="0" shrinkToFit="0" readingOrder="0"/>
      <border diagonalUp="0" diagonalDown="0">
        <left/>
        <right/>
        <top/>
        <bottom/>
        <vertical/>
        <horizontal/>
      </border>
    </dxf>
    <dxf>
      <font>
        <b val="0"/>
        <i val="0"/>
        <strike val="0"/>
        <condense val="0"/>
        <extend val="0"/>
        <outline val="0"/>
        <shadow val="0"/>
        <u val="none"/>
        <vertAlign val="baseline"/>
        <sz val="11"/>
        <color theme="1"/>
        <name val="Calibri"/>
        <family val="2"/>
        <scheme val="minor"/>
      </font>
      <numFmt numFmtId="0" formatCode="Genera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numFmt numFmtId="2" formatCode="0.00"/>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numFmt numFmtId="2" formatCode="0.00"/>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fill>
        <patternFill patternType="solid">
          <fgColor theme="9" tint="0.79998168889431442"/>
          <bgColor rgb="FFDEF1D3"/>
        </patternFill>
      </fill>
      <alignment horizontal="general" vertical="bottom" textRotation="0" wrapText="0" indent="0" justifyLastLine="0" shrinkToFit="0" readingOrder="0"/>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border outline="0">
        <top style="thin">
          <color theme="9"/>
        </top>
      </border>
    </dxf>
    <dxf>
      <border outline="0">
        <left style="thin">
          <color theme="9"/>
        </left>
        <right style="thin">
          <color theme="9"/>
        </right>
        <top style="thin">
          <color theme="9"/>
        </top>
        <bottom style="thin">
          <color theme="9"/>
        </bottom>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rgb="FFDEF1D3"/>
        </patternFill>
      </fill>
      <alignment horizontal="general" vertical="bottom" textRotation="0" wrapText="0" indent="0" justifyLastLine="0" shrinkToFit="0" readingOrder="0"/>
    </dxf>
    <dxf>
      <border outline="0">
        <bottom style="thin">
          <color theme="9"/>
        </bottom>
      </border>
    </dxf>
    <dxf>
      <font>
        <b val="0"/>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border diagonalUp="0" diagonalDown="0">
        <left style="thin">
          <color theme="9"/>
        </left>
        <right style="thin">
          <color theme="9"/>
        </right>
        <top style="thin">
          <color theme="9"/>
        </top>
        <bottom style="thin">
          <color theme="9"/>
        </bottom>
        <vertical/>
        <horizontal/>
      </border>
    </dxf>
    <dxf>
      <fill>
        <patternFill patternType="none">
          <fgColor indexed="64"/>
          <bgColor indexed="65"/>
        </patternFill>
      </fill>
      <protection locked="0" hidden="0"/>
    </dxf>
    <dxf>
      <numFmt numFmtId="2" formatCode="0.00"/>
      <fill>
        <patternFill patternType="none">
          <fgColor indexed="64"/>
          <bgColor indexed="65"/>
        </patternFill>
      </fill>
      <protection locked="0" hidden="0"/>
    </dxf>
    <dxf>
      <numFmt numFmtId="2" formatCode="0.00"/>
      <fill>
        <patternFill patternType="none">
          <fgColor indexed="64"/>
          <bgColor indexed="65"/>
        </patternFill>
      </fill>
      <protection locked="0" hidden="0"/>
    </dxf>
    <dxf>
      <font>
        <b val="0"/>
        <i val="0"/>
        <strike val="0"/>
        <condense val="0"/>
        <extend val="0"/>
        <outline val="0"/>
        <shadow val="0"/>
        <u val="none"/>
        <vertAlign val="baseline"/>
        <sz val="11"/>
        <color theme="1"/>
        <name val="Calibri"/>
        <family val="2"/>
        <scheme val="minor"/>
      </font>
      <border diagonalUp="0" diagonalDown="0">
        <left style="thin">
          <color theme="9"/>
        </left>
        <right style="thin">
          <color theme="9"/>
        </right>
        <top style="thin">
          <color theme="9"/>
        </top>
        <bottom style="thin">
          <color theme="9"/>
        </bottom>
        <vertical/>
        <horizontal/>
      </border>
    </dxf>
    <dxf>
      <numFmt numFmtId="2" formatCode="0.00"/>
      <fill>
        <patternFill patternType="none">
          <fgColor indexed="64"/>
          <bgColor indexed="65"/>
        </patternFill>
      </fill>
      <protection locked="0" hidden="0"/>
    </dxf>
    <dxf>
      <numFmt numFmtId="2" formatCode="0.00"/>
      <fill>
        <patternFill patternType="none">
          <fgColor indexed="64"/>
          <bgColor indexed="65"/>
        </patternFill>
      </fill>
      <protection locked="0" hidden="0"/>
    </dxf>
    <dxf>
      <numFmt numFmtId="2" formatCode="0.00"/>
      <fill>
        <patternFill patternType="none">
          <fgColor indexed="64"/>
          <bgColor indexed="65"/>
        </patternFill>
      </fill>
      <protection locked="0" hidden="0"/>
    </dxf>
    <dxf>
      <numFmt numFmtId="2" formatCode="0.00"/>
      <fill>
        <patternFill patternType="none">
          <fgColor indexed="64"/>
          <bgColor indexed="65"/>
        </patternFill>
      </fill>
      <protection locked="0" hidden="0"/>
    </dxf>
    <dxf>
      <fill>
        <patternFill patternType="none">
          <fgColor indexed="64"/>
          <bgColor indexed="65"/>
        </patternFill>
      </fill>
      <protection locked="0" hidden="0"/>
    </dxf>
    <dxf>
      <numFmt numFmtId="2" formatCode="0.00"/>
      <fill>
        <patternFill patternType="none">
          <fgColor indexed="64"/>
          <bgColor indexed="65"/>
        </patternFill>
      </fill>
      <protection locked="0" hidden="0"/>
    </dxf>
    <dxf>
      <fill>
        <patternFill patternType="none">
          <fgColor indexed="64"/>
          <bgColor indexed="65"/>
        </patternFill>
      </fill>
      <protection locked="0" hidden="0"/>
    </dxf>
    <dxf>
      <numFmt numFmtId="2" formatCode="0.00"/>
      <fill>
        <patternFill patternType="none">
          <fgColor indexed="64"/>
          <bgColor indexed="65"/>
        </patternFill>
      </fill>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protection locked="0" hidden="0"/>
    </dxf>
    <dxf>
      <font>
        <name val="Calibri"/>
        <family val="2"/>
        <scheme val="minor"/>
      </font>
      <fill>
        <patternFill patternType="none">
          <fgColor indexed="64"/>
          <bgColor indexed="65"/>
        </patternFill>
      </fill>
      <protection locked="0" hidden="0"/>
    </dxf>
    <dxf>
      <font>
        <name val="Calibri"/>
        <family val="2"/>
        <scheme val="minor"/>
      </font>
      <fill>
        <patternFill patternType="none">
          <fgColor indexed="64"/>
          <bgColor indexed="65"/>
        </patternFill>
      </fill>
      <protection locked="0" hidden="0"/>
    </dxf>
    <dxf>
      <border outline="0">
        <top style="thin">
          <color theme="9"/>
        </top>
      </border>
    </dxf>
    <dxf>
      <border outline="0">
        <bottom style="thin">
          <color theme="9"/>
        </bottom>
      </border>
    </dxf>
    <dxf>
      <font>
        <b val="0"/>
        <i val="0"/>
        <strike val="0"/>
        <condense val="0"/>
        <extend val="0"/>
        <outline val="0"/>
        <shadow val="0"/>
        <u val="none"/>
        <vertAlign val="baseli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numFmt numFmtId="2" formatCode="0.00"/>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numFmt numFmtId="2" formatCode="0.00"/>
    </dxf>
    <dxf>
      <font>
        <strike val="0"/>
        <outline val="0"/>
        <shadow val="0"/>
        <u val="none"/>
        <sz val="11"/>
        <color theme="1"/>
        <name val="Calibri"/>
        <family val="2"/>
        <scheme val="minor"/>
      </font>
    </dxf>
    <dxf>
      <font>
        <strike val="0"/>
        <outline val="0"/>
        <shadow val="0"/>
        <u val="none"/>
        <sz val="11"/>
        <color theme="1"/>
        <name val="Calibri"/>
        <family val="2"/>
        <scheme val="minor"/>
      </font>
      <numFmt numFmtId="2" formatCode="0.00"/>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ill>
        <patternFill patternType="none">
          <fgColor indexed="64"/>
          <bgColor auto="1"/>
        </patternFill>
      </fill>
      <protection locked="1" hidden="0"/>
    </dxf>
    <dxf>
      <font>
        <b val="0"/>
        <i val="0"/>
        <strike val="0"/>
        <condense val="0"/>
        <extend val="0"/>
        <outline val="0"/>
        <shadow val="0"/>
        <u val="none"/>
        <vertAlign val="baseline"/>
        <sz val="8"/>
        <color theme="1"/>
        <name val="Calibri"/>
        <family val="2"/>
        <scheme val="minor"/>
      </font>
      <fill>
        <patternFill patternType="none">
          <fgColor indexed="64"/>
          <bgColor auto="1"/>
        </patternFill>
      </fill>
      <alignment horizontal="general" vertical="bottom" textRotation="0" wrapText="1" indent="0" justifyLastLine="0" shrinkToFit="0" readingOrder="0"/>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ont>
        <b/>
        <i val="0"/>
        <strike val="0"/>
        <condense val="0"/>
        <extend val="0"/>
        <outline val="0"/>
        <shadow val="0"/>
        <u val="none"/>
        <vertAlign val="baseline"/>
        <sz val="12"/>
        <color theme="1"/>
        <name val="Calibri"/>
        <family val="2"/>
        <scheme val="minor"/>
      </font>
      <fill>
        <patternFill patternType="none">
          <fgColor indexed="64"/>
          <bgColor auto="1"/>
        </patternFill>
      </fill>
      <protection locked="1" hidden="0"/>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s>
  <tableStyles count="0" defaultTableStyle="TableStyleMedium2" defaultPivotStyle="PivotStyleLight16"/>
  <colors>
    <mruColors>
      <color rgb="FFC5C5C9"/>
      <color rgb="FFF1A0BD"/>
      <color rgb="FFFFD288"/>
      <color rgb="FF85DFFF"/>
      <color rgb="FFD9BBD8"/>
      <color rgb="FFBCE4A7"/>
      <color rgb="FFDEF1D3"/>
      <color rgb="FF88DEFF"/>
      <color rgb="FF009BD5"/>
      <color rgb="FF83053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Relationship Id="rId8" Type="http://schemas.openxmlformats.org/officeDocument/2006/relationships/worksheet" Target="worksheets/sheet8.xml"></Relationship><Relationship Id="rId13" Type="http://schemas.openxmlformats.org/officeDocument/2006/relationships/worksheet" Target="worksheets/sheet13.xml"></Relationship><Relationship Id="rId18" Type="http://schemas.openxmlformats.org/officeDocument/2006/relationships/worksheet" Target="worksheets/sheet18.xml"></Relationship><Relationship Id="rId26" Type="http://schemas.openxmlformats.org/officeDocument/2006/relationships/customXml" Target="../customXml/item1.xml"></Relationship><Relationship Id="rId3" Type="http://schemas.openxmlformats.org/officeDocument/2006/relationships/worksheet" Target="worksheets/sheet3.xml"></Relationship><Relationship Id="rId21" Type="http://schemas.openxmlformats.org/officeDocument/2006/relationships/worksheet" Target="worksheets/sheet21.xml"></Relationship><Relationship Id="rId7" Type="http://schemas.openxmlformats.org/officeDocument/2006/relationships/worksheet" Target="worksheets/sheet7.xml"></Relationship><Relationship Id="rId12" Type="http://schemas.openxmlformats.org/officeDocument/2006/relationships/worksheet" Target="worksheets/sheet12.xml"></Relationship><Relationship Id="rId17" Type="http://schemas.openxmlformats.org/officeDocument/2006/relationships/worksheet" Target="worksheets/sheet17.xml"></Relationship><Relationship Id="rId25" Type="http://schemas.openxmlformats.org/officeDocument/2006/relationships/calcChain" Target="calcChain.xml"></Relationship><Relationship Id="rId2" Type="http://schemas.openxmlformats.org/officeDocument/2006/relationships/worksheet" Target="worksheets/sheet2.xml"></Relationship><Relationship Id="rId16" Type="http://schemas.openxmlformats.org/officeDocument/2006/relationships/worksheet" Target="worksheets/sheet16.xml"></Relationship><Relationship Id="rId20" Type="http://schemas.openxmlformats.org/officeDocument/2006/relationships/worksheet" Target="worksheets/sheet20.xml"></Relationship><Relationship Id="rId1" Type="http://schemas.openxmlformats.org/officeDocument/2006/relationships/worksheet" Target="worksheets/sheet1.xml"></Relationship><Relationship Id="rId6" Type="http://schemas.openxmlformats.org/officeDocument/2006/relationships/worksheet" Target="worksheets/sheet6.xml"></Relationship><Relationship Id="rId11" Type="http://schemas.openxmlformats.org/officeDocument/2006/relationships/worksheet" Target="worksheets/sheet11.xml"></Relationship><Relationship Id="rId24" Type="http://schemas.openxmlformats.org/officeDocument/2006/relationships/sharedStrings" Target="sharedStrings.xml"></Relationship><Relationship Id="rId5" Type="http://schemas.openxmlformats.org/officeDocument/2006/relationships/worksheet" Target="worksheets/sheet5.xml"></Relationship><Relationship Id="rId15" Type="http://schemas.openxmlformats.org/officeDocument/2006/relationships/worksheet" Target="worksheets/sheet15.xml"></Relationship><Relationship Id="rId23" Type="http://schemas.openxmlformats.org/officeDocument/2006/relationships/styles" Target="styles.xml"></Relationship><Relationship Id="rId28" Type="http://schemas.openxmlformats.org/officeDocument/2006/relationships/customXml" Target="../customXml/item3.xml"></Relationship><Relationship Id="rId10" Type="http://schemas.openxmlformats.org/officeDocument/2006/relationships/worksheet" Target="worksheets/sheet10.xml"></Relationship><Relationship Id="rId19" Type="http://schemas.openxmlformats.org/officeDocument/2006/relationships/worksheet" Target="worksheets/sheet19.xml"></Relationship><Relationship Id="rId4" Type="http://schemas.openxmlformats.org/officeDocument/2006/relationships/worksheet" Target="worksheets/sheet4.xml"></Relationship><Relationship Id="rId9" Type="http://schemas.openxmlformats.org/officeDocument/2006/relationships/worksheet" Target="worksheets/sheet9.xml"></Relationship><Relationship Id="rId14" Type="http://schemas.openxmlformats.org/officeDocument/2006/relationships/worksheet" Target="worksheets/sheet14.xml"></Relationship><Relationship Id="rId22" Type="http://schemas.openxmlformats.org/officeDocument/2006/relationships/theme" Target="theme/theme1.xml"></Relationship><Relationship Id="rId27" Type="http://schemas.openxmlformats.org/officeDocument/2006/relationships/customXml" Target="../customXml/item2.xml"></Relationship><Relationship Id="rId29" Type="http://schemas.openxmlformats.org/officeDocument/2006/relationships/customXml" Target="../customXml/item4.xml" /></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manualLayout>
          <c:layoutTarget val="inner"/>
          <c:xMode val="edge"/>
          <c:yMode val="edge"/>
          <c:x val="0.10260627077447058"/>
          <c:y val="5.9194744930557458E-2"/>
          <c:w val="0.51568145282030953"/>
          <c:h val="0.80228477885479987"/>
        </c:manualLayout>
      </c:layout>
      <c:doughnutChart>
        <c:varyColors val="1"/>
        <c:ser>
          <c:idx val="0"/>
          <c:order val="0"/>
          <c:dPt>
            <c:idx val="0"/>
            <c:bubble3D val="0"/>
            <c:spPr>
              <a:solidFill>
                <a:schemeClr val="accent3">
                  <a:lumMod val="50000"/>
                </a:schemeClr>
              </a:solidFill>
              <a:ln w="19050">
                <a:solidFill>
                  <a:schemeClr val="lt1"/>
                </a:solidFill>
              </a:ln>
              <a:effectLst/>
            </c:spPr>
            <c:extLst>
              <c:ext xmlns:c16="http://schemas.microsoft.com/office/drawing/2014/chart" uri="{C3380CC4-5D6E-409C-BE32-E72D297353CC}">
                <c16:uniqueId val="{00000001-B73A-4764-8113-BF5641AB9956}"/>
              </c:ext>
            </c:extLst>
          </c:dPt>
          <c:dPt>
            <c:idx val="1"/>
            <c:bubble3D val="0"/>
            <c:spPr>
              <a:solidFill>
                <a:schemeClr val="accent3"/>
              </a:solidFill>
              <a:ln w="19050">
                <a:solidFill>
                  <a:schemeClr val="lt1"/>
                </a:solidFill>
              </a:ln>
              <a:effectLst/>
            </c:spPr>
            <c:extLst>
              <c:ext xmlns:c16="http://schemas.microsoft.com/office/drawing/2014/chart" uri="{C3380CC4-5D6E-409C-BE32-E72D297353CC}">
                <c16:uniqueId val="{00000003-B73A-4764-8113-BF5641AB9956}"/>
              </c:ext>
            </c:extLst>
          </c:dPt>
          <c:dPt>
            <c:idx val="2"/>
            <c:bubble3D val="0"/>
            <c:spPr>
              <a:solidFill>
                <a:schemeClr val="accent3">
                  <a:lumMod val="40000"/>
                  <a:lumOff val="60000"/>
                </a:schemeClr>
              </a:solidFill>
              <a:ln w="19050">
                <a:solidFill>
                  <a:schemeClr val="lt1"/>
                </a:solidFill>
              </a:ln>
              <a:effectLst/>
            </c:spPr>
            <c:extLst>
              <c:ext xmlns:c16="http://schemas.microsoft.com/office/drawing/2014/chart" uri="{C3380CC4-5D6E-409C-BE32-E72D297353CC}">
                <c16:uniqueId val="{00000005-B73A-4764-8113-BF5641AB9956}"/>
              </c:ext>
            </c:extLst>
          </c:dPt>
          <c:dLbls>
            <c:dLbl>
              <c:idx val="0"/>
              <c:layout>
                <c:manualLayout>
                  <c:x val="8.3333333333333329E-2"/>
                  <c:y val="-0.12490894105412657"/>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B73A-4764-8113-BF5641AB9956}"/>
                </c:ext>
              </c:extLst>
            </c:dLbl>
            <c:dLbl>
              <c:idx val="1"/>
              <c:layout>
                <c:manualLayout>
                  <c:x val="9.7826086956521743E-2"/>
                  <c:y val="0.1332362037910683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B73A-4764-8113-BF5641AB9956}"/>
                </c:ext>
              </c:extLst>
            </c:dLbl>
            <c:dLbl>
              <c:idx val="2"/>
              <c:layout>
                <c:manualLayout>
                  <c:x val="-7.6086956521739149E-2"/>
                  <c:y val="0.18319978021271888"/>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B73A-4764-8113-BF5641AB9956}"/>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mn-lt"/>
                    <a:ea typeface="+mn-ea"/>
                    <a:cs typeface="+mn-cs"/>
                  </a:defRPr>
                </a:pPr>
                <a:endParaRPr lang="de-DE"/>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'Ergebnis LCC inkl. CO2-Kosten'!$L$33:$L$35</c:f>
              <c:strCache>
                <c:ptCount val="3"/>
                <c:pt idx="0">
                  <c:v>Produktion</c:v>
                </c:pt>
                <c:pt idx="1">
                  <c:v>Transport &amp; Installation</c:v>
                </c:pt>
                <c:pt idx="2">
                  <c:v>Nutzung</c:v>
                </c:pt>
              </c:strCache>
            </c:strRef>
          </c:cat>
          <c:val>
            <c:numRef>
              <c:f>'Ergebnis LCC inkl. CO2-Kosten'!$N$33:$N$35</c:f>
              <c:numCache>
                <c:formatCode>_-* #,##0.00\ [$€-407]_-;\-* #,##0.00\ [$€-407]_-;_-* "-"??\ [$€-407]_-;_-@_-</c:formatCode>
                <c:ptCount val="3"/>
                <c:pt idx="0">
                  <c:v>33711.949829999998</c:v>
                </c:pt>
                <c:pt idx="1">
                  <c:v>0</c:v>
                </c:pt>
                <c:pt idx="2">
                  <c:v>6057.5313139614018</c:v>
                </c:pt>
              </c:numCache>
            </c:numRef>
          </c:val>
          <c:extLst>
            <c:ext xmlns:c16="http://schemas.microsoft.com/office/drawing/2014/chart" uri="{C3380CC4-5D6E-409C-BE32-E72D297353CC}">
              <c16:uniqueId val="{00000006-B73A-4764-8113-BF5641AB9956}"/>
            </c:ext>
          </c:extLst>
        </c:ser>
        <c:dLbls>
          <c:showLegendKey val="0"/>
          <c:showVal val="0"/>
          <c:showCatName val="0"/>
          <c:showSerName val="0"/>
          <c:showPercent val="1"/>
          <c:showBubbleSize val="0"/>
          <c:showLeaderLines val="1"/>
        </c:dLbls>
        <c:firstSliceAng val="0"/>
        <c:holeSize val="50"/>
      </c:doughnutChart>
      <c:spPr>
        <a:noFill/>
        <a:ln>
          <a:noFill/>
        </a:ln>
        <a:effectLst/>
      </c:spPr>
    </c:plotArea>
    <c:legend>
      <c:legendPos val="r"/>
      <c:layout>
        <c:manualLayout>
          <c:xMode val="edge"/>
          <c:yMode val="edge"/>
          <c:x val="0.6763147419072616"/>
          <c:y val="0.37355242053076698"/>
          <c:w val="0.26487077822399402"/>
          <c:h val="0.34895815964180948"/>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de-D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manualLayout>
          <c:layoutTarget val="inner"/>
          <c:xMode val="edge"/>
          <c:yMode val="edge"/>
          <c:x val="0.10260627077447058"/>
          <c:y val="5.9194744930557458E-2"/>
          <c:w val="0.51568145282030953"/>
          <c:h val="0.80228477885479987"/>
        </c:manualLayout>
      </c:layout>
      <c:doughnutChart>
        <c:varyColors val="1"/>
        <c:ser>
          <c:idx val="0"/>
          <c:order val="0"/>
          <c:dPt>
            <c:idx val="0"/>
            <c:bubble3D val="0"/>
            <c:spPr>
              <a:solidFill>
                <a:schemeClr val="accent3">
                  <a:lumMod val="50000"/>
                </a:schemeClr>
              </a:solidFill>
              <a:ln w="19050">
                <a:solidFill>
                  <a:schemeClr val="lt1"/>
                </a:solidFill>
              </a:ln>
              <a:effectLst/>
            </c:spPr>
            <c:extLst>
              <c:ext xmlns:c16="http://schemas.microsoft.com/office/drawing/2014/chart" uri="{C3380CC4-5D6E-409C-BE32-E72D297353CC}">
                <c16:uniqueId val="{00000001-9D18-48B7-8609-2CCB5D76890F}"/>
              </c:ext>
            </c:extLst>
          </c:dPt>
          <c:dPt>
            <c:idx val="1"/>
            <c:bubble3D val="0"/>
            <c:spPr>
              <a:solidFill>
                <a:schemeClr val="accent3"/>
              </a:solidFill>
              <a:ln w="19050">
                <a:solidFill>
                  <a:schemeClr val="lt1"/>
                </a:solidFill>
              </a:ln>
              <a:effectLst/>
            </c:spPr>
            <c:extLst>
              <c:ext xmlns:c16="http://schemas.microsoft.com/office/drawing/2014/chart" uri="{C3380CC4-5D6E-409C-BE32-E72D297353CC}">
                <c16:uniqueId val="{00000003-9D18-48B7-8609-2CCB5D76890F}"/>
              </c:ext>
            </c:extLst>
          </c:dPt>
          <c:dPt>
            <c:idx val="2"/>
            <c:bubble3D val="0"/>
            <c:spPr>
              <a:solidFill>
                <a:schemeClr val="accent3">
                  <a:lumMod val="40000"/>
                  <a:lumOff val="60000"/>
                </a:schemeClr>
              </a:solidFill>
              <a:ln w="19050">
                <a:solidFill>
                  <a:schemeClr val="lt1"/>
                </a:solidFill>
              </a:ln>
              <a:effectLst/>
            </c:spPr>
            <c:extLst>
              <c:ext xmlns:c16="http://schemas.microsoft.com/office/drawing/2014/chart" uri="{C3380CC4-5D6E-409C-BE32-E72D297353CC}">
                <c16:uniqueId val="{00000005-9D18-48B7-8609-2CCB5D76890F}"/>
              </c:ext>
            </c:extLst>
          </c:dPt>
          <c:dLbls>
            <c:dLbl>
              <c:idx val="0"/>
              <c:layout>
                <c:manualLayout>
                  <c:x val="9.7763037772452294E-2"/>
                  <c:y val="-0.1311286309521843"/>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D18-48B7-8609-2CCB5D76890F}"/>
                </c:ext>
              </c:extLst>
            </c:dLbl>
            <c:dLbl>
              <c:idx val="1"/>
              <c:layout>
                <c:manualLayout>
                  <c:x val="9.7999828825744609E-2"/>
                  <c:y val="0.1452721210939694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D18-48B7-8609-2CCB5D76890F}"/>
                </c:ext>
              </c:extLst>
            </c:dLbl>
            <c:dLbl>
              <c:idx val="2"/>
              <c:layout>
                <c:manualLayout>
                  <c:x val="-5.4347826086956541E-2"/>
                  <c:y val="0.18883759966428865"/>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D18-48B7-8609-2CCB5D76890F}"/>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mn-lt"/>
                    <a:ea typeface="+mn-ea"/>
                    <a:cs typeface="+mn-cs"/>
                  </a:defRPr>
                </a:pPr>
                <a:endParaRPr lang="de-DE"/>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'Ergebnis LCC inkl. CO2-Kosten'!$L$33:$L$35</c:f>
              <c:strCache>
                <c:ptCount val="3"/>
                <c:pt idx="0">
                  <c:v>Produktion</c:v>
                </c:pt>
                <c:pt idx="1">
                  <c:v>Transport &amp; Installation</c:v>
                </c:pt>
                <c:pt idx="2">
                  <c:v>Nutzung</c:v>
                </c:pt>
              </c:strCache>
            </c:strRef>
          </c:cat>
          <c:val>
            <c:numRef>
              <c:f>'Ergebnis LCC inkl. CO2-Kosten'!$N$33:$N$35</c:f>
              <c:numCache>
                <c:formatCode>_-* #,##0.00\ [$€-407]_-;\-* #,##0.00\ [$€-407]_-;_-* "-"??\ [$€-407]_-;_-@_-</c:formatCode>
                <c:ptCount val="3"/>
                <c:pt idx="0">
                  <c:v>33711.949829999998</c:v>
                </c:pt>
                <c:pt idx="1">
                  <c:v>0</c:v>
                </c:pt>
                <c:pt idx="2">
                  <c:v>6057.5313139614018</c:v>
                </c:pt>
              </c:numCache>
            </c:numRef>
          </c:val>
          <c:extLst>
            <c:ext xmlns:c16="http://schemas.microsoft.com/office/drawing/2014/chart" uri="{C3380CC4-5D6E-409C-BE32-E72D297353CC}">
              <c16:uniqueId val="{00000006-9D18-48B7-8609-2CCB5D76890F}"/>
            </c:ext>
          </c:extLst>
        </c:ser>
        <c:dLbls>
          <c:showLegendKey val="0"/>
          <c:showVal val="0"/>
          <c:showCatName val="0"/>
          <c:showSerName val="0"/>
          <c:showPercent val="1"/>
          <c:showBubbleSize val="0"/>
          <c:showLeaderLines val="1"/>
        </c:dLbls>
        <c:firstSliceAng val="0"/>
        <c:holeSize val="50"/>
      </c:doughnutChart>
      <c:spPr>
        <a:noFill/>
        <a:ln>
          <a:noFill/>
        </a:ln>
        <a:effectLst/>
      </c:spPr>
    </c:plotArea>
    <c:legend>
      <c:legendPos val="r"/>
      <c:layout>
        <c:manualLayout>
          <c:xMode val="edge"/>
          <c:yMode val="edge"/>
          <c:x val="0.6763147419072616"/>
          <c:y val="0.37355242053076698"/>
          <c:w val="0.26487077822399402"/>
          <c:h val="0.34895815964180948"/>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de-D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6">
  <a:schemeClr val="accent3"/>
</cs:colorStyle>
</file>

<file path=xl/charts/colors2.xml><?xml version="1.0" encoding="utf-8"?>
<cs:colorStyle xmlns:cs="http://schemas.microsoft.com/office/drawing/2012/chartStyle" xmlns:a="http://schemas.openxmlformats.org/drawingml/2006/main" meth="withinLinear" id="16">
  <a:schemeClr val="accent3"/>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jpe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1986280</xdr:colOff>
      <xdr:row>0</xdr:row>
      <xdr:rowOff>0</xdr:rowOff>
    </xdr:from>
    <xdr:to>
      <xdr:col>6</xdr:col>
      <xdr:colOff>637203</xdr:colOff>
      <xdr:row>1</xdr:row>
      <xdr:rowOff>362631</xdr:rowOff>
    </xdr:to>
    <xdr:pic>
      <xdr:nvPicPr>
        <xdr:cNvPr id="2" name="Grafik 1" descr="logo LCC-CO2 Tool">
          <a:extLst>
            <a:ext uri="{FF2B5EF4-FFF2-40B4-BE49-F238E27FC236}">
              <a16:creationId xmlns:a16="http://schemas.microsoft.com/office/drawing/2014/main" id="{E5E48ED3-B0CD-4CC8-B2A3-513CB968A000}"/>
            </a:ext>
          </a:extLst>
        </xdr:cNvPr>
        <xdr:cNvPicPr>
          <a:picLocks noChangeAspect="1"/>
        </xdr:cNvPicPr>
      </xdr:nvPicPr>
      <xdr:blipFill>
        <a:blip xmlns:r="http://schemas.openxmlformats.org/officeDocument/2006/relationships" r:embed="rId1"/>
        <a:stretch>
          <a:fillRect/>
        </a:stretch>
      </xdr:blipFill>
      <xdr:spPr>
        <a:xfrm>
          <a:off x="8097520" y="0"/>
          <a:ext cx="2142153" cy="85285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3097953</xdr:colOff>
      <xdr:row>1</xdr:row>
      <xdr:rowOff>8467</xdr:rowOff>
    </xdr:from>
    <xdr:to>
      <xdr:col>10</xdr:col>
      <xdr:colOff>23525</xdr:colOff>
      <xdr:row>2</xdr:row>
      <xdr:rowOff>403574</xdr:rowOff>
    </xdr:to>
    <xdr:pic>
      <xdr:nvPicPr>
        <xdr:cNvPr id="2" name="Grafik 1" descr="Logo LCC-CO2">
          <a:extLst>
            <a:ext uri="{FF2B5EF4-FFF2-40B4-BE49-F238E27FC236}">
              <a16:creationId xmlns:a16="http://schemas.microsoft.com/office/drawing/2014/main" id="{44670211-16AB-4350-817B-F600A09FFED2}"/>
            </a:ext>
          </a:extLst>
        </xdr:cNvPr>
        <xdr:cNvPicPr>
          <a:picLocks noChangeAspect="1"/>
        </xdr:cNvPicPr>
      </xdr:nvPicPr>
      <xdr:blipFill>
        <a:blip xmlns:r="http://schemas.openxmlformats.org/officeDocument/2006/relationships" r:embed="rId1"/>
        <a:stretch>
          <a:fillRect/>
        </a:stretch>
      </xdr:blipFill>
      <xdr:spPr>
        <a:xfrm>
          <a:off x="14138486" y="194734"/>
          <a:ext cx="2059336" cy="82479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14</xdr:col>
      <xdr:colOff>1545590</xdr:colOff>
      <xdr:row>0</xdr:row>
      <xdr:rowOff>62774</xdr:rowOff>
    </xdr:from>
    <xdr:to>
      <xdr:col>16</xdr:col>
      <xdr:colOff>20470</xdr:colOff>
      <xdr:row>3</xdr:row>
      <xdr:rowOff>99</xdr:rowOff>
    </xdr:to>
    <xdr:pic>
      <xdr:nvPicPr>
        <xdr:cNvPr id="3" name="Grafik 2" descr="Logo LCC-CO2 ">
          <a:extLst>
            <a:ext uri="{FF2B5EF4-FFF2-40B4-BE49-F238E27FC236}">
              <a16:creationId xmlns:a16="http://schemas.microsoft.com/office/drawing/2014/main" id="{209A322A-A5ED-4FFC-A4C6-DEACA13CEEF0}"/>
            </a:ext>
          </a:extLst>
        </xdr:cNvPr>
        <xdr:cNvPicPr>
          <a:picLocks noChangeAspect="1"/>
        </xdr:cNvPicPr>
      </xdr:nvPicPr>
      <xdr:blipFill>
        <a:blip xmlns:r="http://schemas.openxmlformats.org/officeDocument/2006/relationships" r:embed="rId1"/>
        <a:stretch>
          <a:fillRect/>
        </a:stretch>
      </xdr:blipFill>
      <xdr:spPr>
        <a:xfrm>
          <a:off x="14632940" y="62774"/>
          <a:ext cx="2496970" cy="975550"/>
        </a:xfrm>
        <a:prstGeom prst="rect">
          <a:avLst/>
        </a:prstGeom>
      </xdr:spPr>
    </xdr:pic>
    <xdr:clientData/>
  </xdr:twoCellAnchor>
  <xdr:twoCellAnchor>
    <xdr:from>
      <xdr:col>14</xdr:col>
      <xdr:colOff>353060</xdr:colOff>
      <xdr:row>28</xdr:row>
      <xdr:rowOff>167640</xdr:rowOff>
    </xdr:from>
    <xdr:to>
      <xdr:col>14</xdr:col>
      <xdr:colOff>4023360</xdr:colOff>
      <xdr:row>43</xdr:row>
      <xdr:rowOff>0</xdr:rowOff>
    </xdr:to>
    <xdr:graphicFrame macro="">
      <xdr:nvGraphicFramePr>
        <xdr:cNvPr id="4" name="Chart 1" descr="Grafik THG-Emissionskosten nach Prozentsatz der Lebenszyklusphase (Produktion, Errichtung, Nutzung)">
          <a:extLst>
            <a:ext uri="{FF2B5EF4-FFF2-40B4-BE49-F238E27FC236}">
              <a16:creationId xmlns:a16="http://schemas.microsoft.com/office/drawing/2014/main" id="{9A71259D-4231-4CC4-81CE-B6FD7E8E34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14</xdr:col>
      <xdr:colOff>353060</xdr:colOff>
      <xdr:row>28</xdr:row>
      <xdr:rowOff>167640</xdr:rowOff>
    </xdr:from>
    <xdr:to>
      <xdr:col>14</xdr:col>
      <xdr:colOff>4023360</xdr:colOff>
      <xdr:row>43</xdr:row>
      <xdr:rowOff>0</xdr:rowOff>
    </xdr:to>
    <xdr:graphicFrame macro="">
      <xdr:nvGraphicFramePr>
        <xdr:cNvPr id="6" name="Chart 1" descr="Grafik THG-Emissionskosten nach Prozentsatz der Lebenszyklusphase (Produktion, Errichtung, Nutzung)">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14</xdr:col>
      <xdr:colOff>1564490</xdr:colOff>
      <xdr:row>0</xdr:row>
      <xdr:rowOff>58829</xdr:rowOff>
    </xdr:from>
    <xdr:to>
      <xdr:col>14</xdr:col>
      <xdr:colOff>4041502</xdr:colOff>
      <xdr:row>3</xdr:row>
      <xdr:rowOff>21141</xdr:rowOff>
    </xdr:to>
    <xdr:pic>
      <xdr:nvPicPr>
        <xdr:cNvPr id="3" name="Grafik 2" descr="Logo LCC-CO2 ">
          <a:extLst>
            <a:ext uri="{FF2B5EF4-FFF2-40B4-BE49-F238E27FC236}">
              <a16:creationId xmlns:a16="http://schemas.microsoft.com/office/drawing/2014/main" id="{901B250A-F550-4510-93AF-D2D4A05EAD59}"/>
            </a:ext>
          </a:extLst>
        </xdr:cNvPr>
        <xdr:cNvPicPr>
          <a:picLocks noChangeAspect="1"/>
        </xdr:cNvPicPr>
      </xdr:nvPicPr>
      <xdr:blipFill>
        <a:blip xmlns:r="http://schemas.openxmlformats.org/officeDocument/2006/relationships" r:embed="rId2"/>
        <a:stretch>
          <a:fillRect/>
        </a:stretch>
      </xdr:blipFill>
      <xdr:spPr>
        <a:xfrm>
          <a:off x="14651840" y="58829"/>
          <a:ext cx="2478282" cy="99418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11</xdr:col>
      <xdr:colOff>1139825</xdr:colOff>
      <xdr:row>0</xdr:row>
      <xdr:rowOff>0</xdr:rowOff>
    </xdr:from>
    <xdr:to>
      <xdr:col>13</xdr:col>
      <xdr:colOff>708773</xdr:colOff>
      <xdr:row>1</xdr:row>
      <xdr:rowOff>592627</xdr:rowOff>
    </xdr:to>
    <xdr:pic>
      <xdr:nvPicPr>
        <xdr:cNvPr id="4" name="Grafik 3" descr="Logo LCC-CO2">
          <a:extLst>
            <a:ext uri="{FF2B5EF4-FFF2-40B4-BE49-F238E27FC236}">
              <a16:creationId xmlns:a16="http://schemas.microsoft.com/office/drawing/2014/main" id="{E6A6687E-0DFD-4622-9351-09478323938D}"/>
            </a:ext>
          </a:extLst>
        </xdr:cNvPr>
        <xdr:cNvPicPr>
          <a:picLocks noChangeAspect="1"/>
        </xdr:cNvPicPr>
      </xdr:nvPicPr>
      <xdr:blipFill>
        <a:blip xmlns:r="http://schemas.openxmlformats.org/officeDocument/2006/relationships" r:embed="rId1"/>
        <a:stretch>
          <a:fillRect/>
        </a:stretch>
      </xdr:blipFill>
      <xdr:spPr>
        <a:xfrm>
          <a:off x="15332075" y="0"/>
          <a:ext cx="2090608" cy="82122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15</xdr:col>
      <xdr:colOff>971550</xdr:colOff>
      <xdr:row>0</xdr:row>
      <xdr:rowOff>0</xdr:rowOff>
    </xdr:from>
    <xdr:to>
      <xdr:col>18</xdr:col>
      <xdr:colOff>36383</xdr:colOff>
      <xdr:row>2</xdr:row>
      <xdr:rowOff>134157</xdr:rowOff>
    </xdr:to>
    <xdr:pic>
      <xdr:nvPicPr>
        <xdr:cNvPr id="2" name="Grafik 1" descr="Logo LCC-CO2">
          <a:extLst>
            <a:ext uri="{FF2B5EF4-FFF2-40B4-BE49-F238E27FC236}">
              <a16:creationId xmlns:a16="http://schemas.microsoft.com/office/drawing/2014/main" id="{23595CC3-F7E7-4EB2-B67B-DE27E851D696}"/>
            </a:ext>
          </a:extLst>
        </xdr:cNvPr>
        <xdr:cNvPicPr>
          <a:picLocks noChangeAspect="1"/>
        </xdr:cNvPicPr>
      </xdr:nvPicPr>
      <xdr:blipFill>
        <a:blip xmlns:r="http://schemas.openxmlformats.org/officeDocument/2006/relationships" r:embed="rId1"/>
        <a:stretch>
          <a:fillRect/>
        </a:stretch>
      </xdr:blipFill>
      <xdr:spPr>
        <a:xfrm>
          <a:off x="8458200" y="0"/>
          <a:ext cx="2093783" cy="81868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8</xdr:col>
      <xdr:colOff>1028700</xdr:colOff>
      <xdr:row>0</xdr:row>
      <xdr:rowOff>0</xdr:rowOff>
    </xdr:from>
    <xdr:to>
      <xdr:col>10</xdr:col>
      <xdr:colOff>669478</xdr:colOff>
      <xdr:row>4</xdr:row>
      <xdr:rowOff>23032</xdr:rowOff>
    </xdr:to>
    <xdr:pic>
      <xdr:nvPicPr>
        <xdr:cNvPr id="2" name="Grafik 1" descr="Logo LCC-CO2">
          <a:extLst>
            <a:ext uri="{FF2B5EF4-FFF2-40B4-BE49-F238E27FC236}">
              <a16:creationId xmlns:a16="http://schemas.microsoft.com/office/drawing/2014/main" id="{73758974-4339-4C25-BAF0-1509F7BC30EA}"/>
            </a:ext>
          </a:extLst>
        </xdr:cNvPr>
        <xdr:cNvPicPr>
          <a:picLocks noChangeAspect="1"/>
        </xdr:cNvPicPr>
      </xdr:nvPicPr>
      <xdr:blipFill>
        <a:blip xmlns:r="http://schemas.openxmlformats.org/officeDocument/2006/relationships" r:embed="rId1"/>
        <a:stretch>
          <a:fillRect/>
        </a:stretch>
      </xdr:blipFill>
      <xdr:spPr>
        <a:xfrm>
          <a:off x="11630025" y="0"/>
          <a:ext cx="2095688" cy="829482"/>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9</xdr:col>
      <xdr:colOff>402167</xdr:colOff>
      <xdr:row>0</xdr:row>
      <xdr:rowOff>0</xdr:rowOff>
    </xdr:from>
    <xdr:to>
      <xdr:col>11</xdr:col>
      <xdr:colOff>1051801</xdr:colOff>
      <xdr:row>0</xdr:row>
      <xdr:rowOff>821192</xdr:rowOff>
    </xdr:to>
    <xdr:pic>
      <xdr:nvPicPr>
        <xdr:cNvPr id="4" name="Grafik 3" descr="Logo LCC-CO2">
          <a:extLst>
            <a:ext uri="{FF2B5EF4-FFF2-40B4-BE49-F238E27FC236}">
              <a16:creationId xmlns:a16="http://schemas.microsoft.com/office/drawing/2014/main" id="{66A158D4-DD45-4C3A-A57A-CE0996E5D037}"/>
            </a:ext>
          </a:extLst>
        </xdr:cNvPr>
        <xdr:cNvPicPr>
          <a:picLocks noChangeAspect="1"/>
        </xdr:cNvPicPr>
      </xdr:nvPicPr>
      <xdr:blipFill>
        <a:blip xmlns:r="http://schemas.openxmlformats.org/officeDocument/2006/relationships" r:embed="rId1"/>
        <a:stretch>
          <a:fillRect/>
        </a:stretch>
      </xdr:blipFill>
      <xdr:spPr>
        <a:xfrm>
          <a:off x="12096750" y="0"/>
          <a:ext cx="2085369" cy="81166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17</xdr:col>
      <xdr:colOff>968375</xdr:colOff>
      <xdr:row>0</xdr:row>
      <xdr:rowOff>0</xdr:rowOff>
    </xdr:from>
    <xdr:to>
      <xdr:col>19</xdr:col>
      <xdr:colOff>688369</xdr:colOff>
      <xdr:row>1</xdr:row>
      <xdr:rowOff>2042</xdr:rowOff>
    </xdr:to>
    <xdr:pic>
      <xdr:nvPicPr>
        <xdr:cNvPr id="3" name="Grafik 2" descr="Logo LCC-CO2">
          <a:extLst>
            <a:ext uri="{FF2B5EF4-FFF2-40B4-BE49-F238E27FC236}">
              <a16:creationId xmlns:a16="http://schemas.microsoft.com/office/drawing/2014/main" id="{470C612B-313F-4C5D-BA3D-56682719485E}"/>
            </a:ext>
          </a:extLst>
        </xdr:cNvPr>
        <xdr:cNvPicPr>
          <a:picLocks noChangeAspect="1"/>
        </xdr:cNvPicPr>
      </xdr:nvPicPr>
      <xdr:blipFill>
        <a:blip xmlns:r="http://schemas.openxmlformats.org/officeDocument/2006/relationships" r:embed="rId1"/>
        <a:stretch>
          <a:fillRect/>
        </a:stretch>
      </xdr:blipFill>
      <xdr:spPr>
        <a:xfrm>
          <a:off x="15436850" y="0"/>
          <a:ext cx="2091719" cy="81166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9</xdr:col>
      <xdr:colOff>645583</xdr:colOff>
      <xdr:row>0</xdr:row>
      <xdr:rowOff>0</xdr:rowOff>
    </xdr:from>
    <xdr:to>
      <xdr:col>9</xdr:col>
      <xdr:colOff>2729047</xdr:colOff>
      <xdr:row>0</xdr:row>
      <xdr:rowOff>802142</xdr:rowOff>
    </xdr:to>
    <xdr:pic>
      <xdr:nvPicPr>
        <xdr:cNvPr id="3" name="Grafik 2" descr="Logo LCC-CO2">
          <a:extLst>
            <a:ext uri="{FF2B5EF4-FFF2-40B4-BE49-F238E27FC236}">
              <a16:creationId xmlns:a16="http://schemas.microsoft.com/office/drawing/2014/main" id="{50746942-1ADD-4125-8DBC-83F692A97234}"/>
            </a:ext>
          </a:extLst>
        </xdr:cNvPr>
        <xdr:cNvPicPr>
          <a:picLocks noChangeAspect="1"/>
        </xdr:cNvPicPr>
      </xdr:nvPicPr>
      <xdr:blipFill>
        <a:blip xmlns:r="http://schemas.openxmlformats.org/officeDocument/2006/relationships" r:embed="rId1"/>
        <a:stretch>
          <a:fillRect/>
        </a:stretch>
      </xdr:blipFill>
      <xdr:spPr>
        <a:xfrm>
          <a:off x="10646833" y="0"/>
          <a:ext cx="2085369" cy="805317"/>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1162775</xdr:colOff>
      <xdr:row>4</xdr:row>
      <xdr:rowOff>778246</xdr:rowOff>
    </xdr:from>
    <xdr:to>
      <xdr:col>2</xdr:col>
      <xdr:colOff>2324100</xdr:colOff>
      <xdr:row>4</xdr:row>
      <xdr:rowOff>1126940</xdr:rowOff>
    </xdr:to>
    <xdr:pic>
      <xdr:nvPicPr>
        <xdr:cNvPr id="7" name="Grafik 1">
          <a:extLst>
            <a:ext uri="{FF2B5EF4-FFF2-40B4-BE49-F238E27FC236}">
              <a16:creationId xmlns:a16="http://schemas.microsoft.com/office/drawing/2014/main" id="{3AD2200E-FD8B-422B-B63C-7B852627BAA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00925" y="2092696"/>
          <a:ext cx="1161325" cy="343614"/>
        </a:xfrm>
        <a:prstGeom prst="rect">
          <a:avLst/>
        </a:prstGeom>
        <a:effectLst>
          <a:outerShdw blurRad="50800" dist="38100" dir="2700000" algn="tl" rotWithShape="0">
            <a:prstClr val="black">
              <a:alpha val="40000"/>
            </a:prstClr>
          </a:outerShdw>
        </a:effectLst>
      </xdr:spPr>
    </xdr:pic>
    <xdr:clientData/>
  </xdr:twoCellAnchor>
  <xdr:twoCellAnchor editAs="oneCell">
    <xdr:from>
      <xdr:col>2</xdr:col>
      <xdr:colOff>55245</xdr:colOff>
      <xdr:row>4</xdr:row>
      <xdr:rowOff>774065</xdr:rowOff>
    </xdr:from>
    <xdr:to>
      <xdr:col>2</xdr:col>
      <xdr:colOff>1089477</xdr:colOff>
      <xdr:row>4</xdr:row>
      <xdr:rowOff>1115147</xdr:rowOff>
    </xdr:to>
    <xdr:pic>
      <xdr:nvPicPr>
        <xdr:cNvPr id="6" name="Grafik 2">
          <a:extLst>
            <a:ext uri="{FF2B5EF4-FFF2-40B4-BE49-F238E27FC236}">
              <a16:creationId xmlns:a16="http://schemas.microsoft.com/office/drawing/2014/main" id="{E61DE541-99B6-41EB-86CF-A2CC3492139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93395" y="2088515"/>
          <a:ext cx="1040582" cy="337272"/>
        </a:xfrm>
        <a:prstGeom prst="rect">
          <a:avLst/>
        </a:prstGeom>
        <a:ln>
          <a:solidFill>
            <a:schemeClr val="tx1"/>
          </a:solidFill>
        </a:ln>
        <a:effectLst>
          <a:outerShdw blurRad="50800" dist="38100" dir="2700000" algn="tl" rotWithShape="0">
            <a:prstClr val="black">
              <a:alpha val="40000"/>
            </a:prstClr>
          </a:outerShdw>
        </a:effectLst>
      </xdr:spPr>
    </xdr:pic>
    <xdr:clientData/>
  </xdr:twoCellAnchor>
  <xdr:twoCellAnchor editAs="oneCell">
    <xdr:from>
      <xdr:col>2</xdr:col>
      <xdr:colOff>4483100</xdr:colOff>
      <xdr:row>0</xdr:row>
      <xdr:rowOff>124460</xdr:rowOff>
    </xdr:from>
    <xdr:to>
      <xdr:col>3</xdr:col>
      <xdr:colOff>25429</xdr:colOff>
      <xdr:row>2</xdr:row>
      <xdr:rowOff>362722</xdr:rowOff>
    </xdr:to>
    <xdr:pic>
      <xdr:nvPicPr>
        <xdr:cNvPr id="4" name="Grafik 3" descr="Logo LCC-CO2">
          <a:extLst>
            <a:ext uri="{FF2B5EF4-FFF2-40B4-BE49-F238E27FC236}">
              <a16:creationId xmlns:a16="http://schemas.microsoft.com/office/drawing/2014/main" id="{5011DBE4-A262-4A56-9098-F4CA3FE5ED17}"/>
            </a:ext>
          </a:extLst>
        </xdr:cNvPr>
        <xdr:cNvPicPr>
          <a:picLocks noChangeAspect="1"/>
        </xdr:cNvPicPr>
      </xdr:nvPicPr>
      <xdr:blipFill>
        <a:blip xmlns:r="http://schemas.openxmlformats.org/officeDocument/2006/relationships" r:embed="rId3"/>
        <a:stretch>
          <a:fillRect/>
        </a:stretch>
      </xdr:blipFill>
      <xdr:spPr>
        <a:xfrm>
          <a:off x="4917440" y="124460"/>
          <a:ext cx="2110769" cy="8288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20096</xdr:colOff>
      <xdr:row>11</xdr:row>
      <xdr:rowOff>13299</xdr:rowOff>
    </xdr:from>
    <xdr:ext cx="9662384" cy="374141"/>
    <xdr:sp macro="" textlink="">
      <xdr:nvSpPr>
        <xdr:cNvPr id="3" name="Rechteck 2">
          <a:extLst>
            <a:ext uri="{FF2B5EF4-FFF2-40B4-BE49-F238E27FC236}">
              <a16:creationId xmlns:a16="http://schemas.microsoft.com/office/drawing/2014/main" id="{9BEADF6C-0D28-4484-AFB3-CE016946F9BD}"/>
            </a:ext>
          </a:extLst>
        </xdr:cNvPr>
        <xdr:cNvSpPr/>
      </xdr:nvSpPr>
      <xdr:spPr>
        <a:xfrm>
          <a:off x="180116" y="2756499"/>
          <a:ext cx="9662384" cy="374141"/>
        </a:xfrm>
        <a:prstGeom prst="rect">
          <a:avLst/>
        </a:prstGeom>
        <a:solidFill>
          <a:srgbClr val="FFD288"/>
        </a:solidFill>
        <a:effectLst>
          <a:outerShdw blurRad="50800" dist="38100" dir="2700000" algn="tl" rotWithShape="0">
            <a:prstClr val="black">
              <a:alpha val="40000"/>
            </a:prstClr>
          </a:outerShdw>
        </a:effectLst>
      </xdr:spPr>
      <xdr:txBody>
        <a:bodyPr wrap="square" lIns="91440" tIns="45720" rIns="91440" bIns="45720">
          <a:spAutoFit/>
        </a:bodyPr>
        <a:lstStyle/>
        <a:p>
          <a:pPr algn="l"/>
          <a:r>
            <a:rPr lang="de-DE" sz="1800" b="1" i="1" cap="none" spc="0">
              <a:ln w="22225">
                <a:noFill/>
                <a:prstDash val="solid"/>
              </a:ln>
              <a:solidFill>
                <a:schemeClr val="tx1">
                  <a:lumMod val="75000"/>
                  <a:lumOff val="25000"/>
                </a:schemeClr>
              </a:solidFill>
              <a:effectLst/>
            </a:rPr>
            <a:t>Hier trägt</a:t>
          </a:r>
          <a:r>
            <a:rPr lang="de-DE" sz="1800" b="1" i="1" cap="none" spc="0" baseline="0">
              <a:ln w="22225">
                <a:noFill/>
                <a:prstDash val="solid"/>
              </a:ln>
              <a:solidFill>
                <a:schemeClr val="tx1">
                  <a:lumMod val="75000"/>
                  <a:lumOff val="25000"/>
                </a:schemeClr>
              </a:solidFill>
              <a:effectLst/>
            </a:rPr>
            <a:t> die Beschaffungsstelle das Punktevergabeschema und die Anleitung für das Preisblatt ein</a:t>
          </a:r>
          <a:endParaRPr lang="de-DE" sz="1800" b="1" i="1" cap="none" spc="0">
            <a:ln w="22225">
              <a:noFill/>
              <a:prstDash val="solid"/>
            </a:ln>
            <a:solidFill>
              <a:schemeClr val="tx1">
                <a:lumMod val="75000"/>
                <a:lumOff val="25000"/>
              </a:schemeClr>
            </a:solidFill>
            <a:effectLst/>
          </a:endParaRPr>
        </a:p>
      </xdr:txBody>
    </xdr:sp>
    <xdr:clientData/>
  </xdr:oneCellAnchor>
  <xdr:twoCellAnchor editAs="oneCell">
    <xdr:from>
      <xdr:col>17</xdr:col>
      <xdr:colOff>433916</xdr:colOff>
      <xdr:row>0</xdr:row>
      <xdr:rowOff>0</xdr:rowOff>
    </xdr:from>
    <xdr:to>
      <xdr:col>18</xdr:col>
      <xdr:colOff>1698835</xdr:colOff>
      <xdr:row>0</xdr:row>
      <xdr:rowOff>824911</xdr:rowOff>
    </xdr:to>
    <xdr:pic>
      <xdr:nvPicPr>
        <xdr:cNvPr id="4" name="Grafik 3" descr="Logo LCC-CO2">
          <a:extLst>
            <a:ext uri="{FF2B5EF4-FFF2-40B4-BE49-F238E27FC236}">
              <a16:creationId xmlns:a16="http://schemas.microsoft.com/office/drawing/2014/main" id="{9A07619B-DBD0-43D2-B532-20BBB7905A8F}"/>
            </a:ext>
          </a:extLst>
        </xdr:cNvPr>
        <xdr:cNvPicPr>
          <a:picLocks noChangeAspect="1"/>
        </xdr:cNvPicPr>
      </xdr:nvPicPr>
      <xdr:blipFill>
        <a:blip xmlns:r="http://schemas.openxmlformats.org/officeDocument/2006/relationships" r:embed="rId1"/>
        <a:stretch>
          <a:fillRect/>
        </a:stretch>
      </xdr:blipFill>
      <xdr:spPr>
        <a:xfrm>
          <a:off x="14266333" y="0"/>
          <a:ext cx="2087032" cy="807131"/>
        </a:xfrm>
        <a:prstGeom prst="rect">
          <a:avLst/>
        </a:prstGeom>
      </xdr:spPr>
    </xdr:pic>
    <xdr:clientData/>
  </xdr:twoCellAnchor>
  <xdr:twoCellAnchor>
    <xdr:from>
      <xdr:col>4</xdr:col>
      <xdr:colOff>1330325</xdr:colOff>
      <xdr:row>6</xdr:row>
      <xdr:rowOff>82550</xdr:rowOff>
    </xdr:from>
    <xdr:to>
      <xdr:col>5</xdr:col>
      <xdr:colOff>838200</xdr:colOff>
      <xdr:row>7</xdr:row>
      <xdr:rowOff>101600</xdr:rowOff>
    </xdr:to>
    <xdr:sp macro="" textlink="">
      <xdr:nvSpPr>
        <xdr:cNvPr id="2" name="Pfeil: nach rechts 1">
          <a:extLst>
            <a:ext uri="{FF2B5EF4-FFF2-40B4-BE49-F238E27FC236}">
              <a16:creationId xmlns:a16="http://schemas.microsoft.com/office/drawing/2014/main" id="{59546D4C-B8F2-43DA-8D6C-A30CAD68F9AE}"/>
            </a:ext>
            <a:ext uri="{C183D7F6-B498-43B3-948B-1728B52AA6E4}">
              <adec:decorative xmlns:adec="http://schemas.microsoft.com/office/drawing/2017/decorative" val="1"/>
            </a:ext>
          </a:extLst>
        </xdr:cNvPr>
        <xdr:cNvSpPr/>
      </xdr:nvSpPr>
      <xdr:spPr>
        <a:xfrm>
          <a:off x="4244975" y="1892300"/>
          <a:ext cx="850900" cy="200025"/>
        </a:xfrm>
        <a:prstGeom prst="rightArrow">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74930</xdr:colOff>
      <xdr:row>0</xdr:row>
      <xdr:rowOff>151130</xdr:rowOff>
    </xdr:from>
    <xdr:to>
      <xdr:col>7</xdr:col>
      <xdr:colOff>40427</xdr:colOff>
      <xdr:row>3</xdr:row>
      <xdr:rowOff>135301</xdr:rowOff>
    </xdr:to>
    <xdr:pic>
      <xdr:nvPicPr>
        <xdr:cNvPr id="2" name="Grafik 1" descr="Logo LCC-CO2">
          <a:extLst>
            <a:ext uri="{FF2B5EF4-FFF2-40B4-BE49-F238E27FC236}">
              <a16:creationId xmlns:a16="http://schemas.microsoft.com/office/drawing/2014/main" id="{EC148C37-FFDD-4B58-8065-BAA05E13D90A}"/>
            </a:ext>
          </a:extLst>
        </xdr:cNvPr>
        <xdr:cNvPicPr>
          <a:picLocks noChangeAspect="1"/>
        </xdr:cNvPicPr>
      </xdr:nvPicPr>
      <xdr:blipFill>
        <a:blip xmlns:r="http://schemas.openxmlformats.org/officeDocument/2006/relationships" r:embed="rId1"/>
        <a:stretch>
          <a:fillRect/>
        </a:stretch>
      </xdr:blipFill>
      <xdr:spPr>
        <a:xfrm>
          <a:off x="8312150" y="151130"/>
          <a:ext cx="2083857" cy="84523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2581275</xdr:colOff>
      <xdr:row>1</xdr:row>
      <xdr:rowOff>20320</xdr:rowOff>
    </xdr:from>
    <xdr:to>
      <xdr:col>8</xdr:col>
      <xdr:colOff>21377</xdr:colOff>
      <xdr:row>3</xdr:row>
      <xdr:rowOff>137841</xdr:rowOff>
    </xdr:to>
    <xdr:pic>
      <xdr:nvPicPr>
        <xdr:cNvPr id="2" name="Grafik 1" descr="Logo LCC-CO2">
          <a:extLst>
            <a:ext uri="{FF2B5EF4-FFF2-40B4-BE49-F238E27FC236}">
              <a16:creationId xmlns:a16="http://schemas.microsoft.com/office/drawing/2014/main" id="{EC31FA97-C8D6-4773-A4DF-922EFC0475E1}"/>
            </a:ext>
          </a:extLst>
        </xdr:cNvPr>
        <xdr:cNvPicPr>
          <a:picLocks noChangeAspect="1"/>
        </xdr:cNvPicPr>
      </xdr:nvPicPr>
      <xdr:blipFill>
        <a:blip xmlns:r="http://schemas.openxmlformats.org/officeDocument/2006/relationships" r:embed="rId1"/>
        <a:stretch>
          <a:fillRect/>
        </a:stretch>
      </xdr:blipFill>
      <xdr:spPr>
        <a:xfrm>
          <a:off x="9629775" y="149860"/>
          <a:ext cx="2087032" cy="82364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595630</xdr:colOff>
      <xdr:row>0</xdr:row>
      <xdr:rowOff>130175</xdr:rowOff>
    </xdr:from>
    <xdr:to>
      <xdr:col>7</xdr:col>
      <xdr:colOff>24370</xdr:colOff>
      <xdr:row>2</xdr:row>
      <xdr:rowOff>325257</xdr:rowOff>
    </xdr:to>
    <xdr:pic>
      <xdr:nvPicPr>
        <xdr:cNvPr id="2" name="Grafik 1" descr="Logo LCC-CO2">
          <a:extLst>
            <a:ext uri="{FF2B5EF4-FFF2-40B4-BE49-F238E27FC236}">
              <a16:creationId xmlns:a16="http://schemas.microsoft.com/office/drawing/2014/main" id="{B10B4047-4693-4E9F-A914-D2C395B61770}"/>
            </a:ext>
          </a:extLst>
        </xdr:cNvPr>
        <xdr:cNvPicPr>
          <a:picLocks noChangeAspect="1"/>
        </xdr:cNvPicPr>
      </xdr:nvPicPr>
      <xdr:blipFill>
        <a:blip xmlns:r="http://schemas.openxmlformats.org/officeDocument/2006/relationships" r:embed="rId1"/>
        <a:stretch>
          <a:fillRect/>
        </a:stretch>
      </xdr:blipFill>
      <xdr:spPr>
        <a:xfrm>
          <a:off x="8657590" y="130175"/>
          <a:ext cx="2112250" cy="81738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3152775</xdr:colOff>
      <xdr:row>1</xdr:row>
      <xdr:rowOff>321945</xdr:rowOff>
    </xdr:from>
    <xdr:to>
      <xdr:col>5</xdr:col>
      <xdr:colOff>25429</xdr:colOff>
      <xdr:row>4</xdr:row>
      <xdr:rowOff>113802</xdr:rowOff>
    </xdr:to>
    <xdr:pic>
      <xdr:nvPicPr>
        <xdr:cNvPr id="2" name="Grafik 1" descr="Logo LCC-CO2">
          <a:extLst>
            <a:ext uri="{FF2B5EF4-FFF2-40B4-BE49-F238E27FC236}">
              <a16:creationId xmlns:a16="http://schemas.microsoft.com/office/drawing/2014/main" id="{1BECCF1E-2324-45C6-B113-FD76AA8960B9}"/>
            </a:ext>
          </a:extLst>
        </xdr:cNvPr>
        <xdr:cNvPicPr>
          <a:picLocks noChangeAspect="1"/>
        </xdr:cNvPicPr>
      </xdr:nvPicPr>
      <xdr:blipFill>
        <a:blip xmlns:r="http://schemas.openxmlformats.org/officeDocument/2006/relationships" r:embed="rId1"/>
        <a:stretch>
          <a:fillRect/>
        </a:stretch>
      </xdr:blipFill>
      <xdr:spPr>
        <a:xfrm>
          <a:off x="5255895" y="474345"/>
          <a:ext cx="2073304" cy="82817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260985</xdr:colOff>
      <xdr:row>0</xdr:row>
      <xdr:rowOff>111972</xdr:rowOff>
    </xdr:from>
    <xdr:to>
      <xdr:col>8</xdr:col>
      <xdr:colOff>934749</xdr:colOff>
      <xdr:row>2</xdr:row>
      <xdr:rowOff>330549</xdr:rowOff>
    </xdr:to>
    <xdr:pic>
      <xdr:nvPicPr>
        <xdr:cNvPr id="2" name="Grafik 1" descr="Logo LCC-CO2">
          <a:extLst>
            <a:ext uri="{FF2B5EF4-FFF2-40B4-BE49-F238E27FC236}">
              <a16:creationId xmlns:a16="http://schemas.microsoft.com/office/drawing/2014/main" id="{536869CB-3BA2-4FA0-BBB0-ABD6E77FA44C}"/>
            </a:ext>
          </a:extLst>
        </xdr:cNvPr>
        <xdr:cNvPicPr>
          <a:picLocks noChangeAspect="1"/>
        </xdr:cNvPicPr>
      </xdr:nvPicPr>
      <xdr:blipFill>
        <a:blip xmlns:r="http://schemas.openxmlformats.org/officeDocument/2006/relationships" r:embed="rId1"/>
        <a:stretch>
          <a:fillRect/>
        </a:stretch>
      </xdr:blipFill>
      <xdr:spPr>
        <a:xfrm>
          <a:off x="7294245" y="111972"/>
          <a:ext cx="2111404" cy="81547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20743</xdr:colOff>
      <xdr:row>13</xdr:row>
      <xdr:rowOff>56589</xdr:rowOff>
    </xdr:from>
    <xdr:to>
      <xdr:col>5</xdr:col>
      <xdr:colOff>2197183</xdr:colOff>
      <xdr:row>16</xdr:row>
      <xdr:rowOff>253003</xdr:rowOff>
    </xdr:to>
    <xdr:pic>
      <xdr:nvPicPr>
        <xdr:cNvPr id="9" name="Grafik 8" descr="Finanzmathematische Grundlagen - Grundlagen Bankwesen | Bank-Wissen.de">
          <a:extLst>
            <a:ext uri="{FF2B5EF4-FFF2-40B4-BE49-F238E27FC236}">
              <a16:creationId xmlns:a16="http://schemas.microsoft.com/office/drawing/2014/main" id="{9D69A60E-D0B3-A7E9-DD30-72AC03DB9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2210" y="4239122"/>
          <a:ext cx="2157390" cy="7412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4262755</xdr:colOff>
      <xdr:row>0</xdr:row>
      <xdr:rowOff>125731</xdr:rowOff>
    </xdr:from>
    <xdr:to>
      <xdr:col>5</xdr:col>
      <xdr:colOff>6347013</xdr:colOff>
      <xdr:row>2</xdr:row>
      <xdr:rowOff>58663</xdr:rowOff>
    </xdr:to>
    <xdr:pic>
      <xdr:nvPicPr>
        <xdr:cNvPr id="2" name="Grafik 1" descr="Logo LCC-CO2">
          <a:extLst>
            <a:ext uri="{FF2B5EF4-FFF2-40B4-BE49-F238E27FC236}">
              <a16:creationId xmlns:a16="http://schemas.microsoft.com/office/drawing/2014/main" id="{01F4D2DC-7452-4D3D-9F2A-67025FA471EF}"/>
            </a:ext>
          </a:extLst>
        </xdr:cNvPr>
        <xdr:cNvPicPr>
          <a:picLocks noChangeAspect="1"/>
        </xdr:cNvPicPr>
      </xdr:nvPicPr>
      <xdr:blipFill>
        <a:blip xmlns:r="http://schemas.openxmlformats.org/officeDocument/2006/relationships" r:embed="rId2"/>
        <a:stretch>
          <a:fillRect/>
        </a:stretch>
      </xdr:blipFill>
      <xdr:spPr>
        <a:xfrm>
          <a:off x="11764222" y="125731"/>
          <a:ext cx="2085528" cy="82320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8</xdr:col>
      <xdr:colOff>3004819</xdr:colOff>
      <xdr:row>1</xdr:row>
      <xdr:rowOff>26246</xdr:rowOff>
    </xdr:from>
    <xdr:to>
      <xdr:col>9</xdr:col>
      <xdr:colOff>20348</xdr:colOff>
      <xdr:row>3</xdr:row>
      <xdr:rowOff>560</xdr:rowOff>
    </xdr:to>
    <xdr:pic>
      <xdr:nvPicPr>
        <xdr:cNvPr id="2" name="Grafik 1" descr="Logo LCC-CO2">
          <a:extLst>
            <a:ext uri="{FF2B5EF4-FFF2-40B4-BE49-F238E27FC236}">
              <a16:creationId xmlns:a16="http://schemas.microsoft.com/office/drawing/2014/main" id="{420F2912-28B3-4CF6-859E-00F074DF3650}"/>
            </a:ext>
          </a:extLst>
        </xdr:cNvPr>
        <xdr:cNvPicPr>
          <a:picLocks noChangeAspect="1"/>
        </xdr:cNvPicPr>
      </xdr:nvPicPr>
      <xdr:blipFill>
        <a:blip xmlns:r="http://schemas.openxmlformats.org/officeDocument/2006/relationships" r:embed="rId1"/>
        <a:stretch>
          <a:fillRect/>
        </a:stretch>
      </xdr:blipFill>
      <xdr:spPr>
        <a:xfrm>
          <a:off x="12910819" y="212513"/>
          <a:ext cx="2155642" cy="82098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BEA2A77-EEA9-4088-830D-3286560A1F6A}" name="Tabelle2" displayName="Tabelle2" ref="C2:N442" totalsRowShown="0" headerRowDxfId="124" dataDxfId="123" headerRowCellStyle="Standard 2" dataCellStyle="Standard 2">
  <autoFilter ref="C2:N442" xr:uid="{1BEA2A77-EEA9-4088-830D-3286560A1F6A}"/>
  <sortState xmlns:xlrd2="http://schemas.microsoft.com/office/spreadsheetml/2017/richdata2" ref="C4:N442">
    <sortCondition ref="C2:C442"/>
  </sortState>
  <tableColumns count="12">
    <tableColumn id="1" xr3:uid="{2B261835-F3E0-4458-BD57-F665593D4C94}" name="Material" dataDxfId="122" dataCellStyle="Standard 2"/>
    <tableColumn id="2" xr3:uid="{C6BBFFF0-A765-4FBF-AD31-AE0CEA1FD11F}" name="Stoff/Komponent" dataDxfId="121" dataCellStyle="Standard 2"/>
    <tableColumn id="3" xr3:uid="{F46E59D2-EF36-4E0E-8351-BF5809B1166B}" name="CO2" dataDxfId="120" dataCellStyle="Standard 2"/>
    <tableColumn id="4" xr3:uid="{06B83C5B-56C8-4C29-B972-9A826F908DBA}" name="CH4" dataDxfId="119" dataCellStyle="Standard 2"/>
    <tableColumn id="5" xr3:uid="{C640C93D-731E-422C-B2A6-B9A2659D633E}" name="N2O" dataDxfId="118" dataCellStyle="Standard 2"/>
    <tableColumn id="6" xr3:uid="{2F2B60D7-4DDB-4B91-8C2E-F4CA04FF6368}" name="THG" dataDxfId="117" dataCellStyle="Standard 2"/>
    <tableColumn id="7" xr3:uid="{3F9D2824-8035-4CD2-BCB9-9B74E8FCF7B0}" name="Einheit" dataDxfId="116" dataCellStyle="Standard 2"/>
    <tableColumn id="8" xr3:uid="{D5E93379-4B44-431C-9BD0-9FFED9AB1B89}" name="Energie" dataDxfId="115" dataCellStyle="Standard 2"/>
    <tableColumn id="9" xr3:uid="{A286E02D-DF61-44DC-8568-D43237E3987A}" name="Einheit2" dataDxfId="114" dataCellStyle="Standard 2"/>
    <tableColumn id="10" xr3:uid="{2EE68D84-3298-4524-95E6-290E25AB6CF2}" name="Bezugseinheit" dataDxfId="113" dataCellStyle="Standard 2"/>
    <tableColumn id="11" xr3:uid="{C8B9AB9A-80AC-48D0-8552-1B7233B6EAB4}" name="Quelle" dataDxfId="112" dataCellStyle="Standard 2"/>
    <tableColumn id="12" xr3:uid="{4F3D9B1A-DC99-4F5C-BD0B-857C16F149D5}" name="Kommentar" dataDxfId="111" dataCellStyle="Standard 2"/>
  </tableColumns>
  <tableStyleInfo name="TableStyleLight2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0F40308-7020-4ABD-92F6-9A19D872EB03}" name="Tabelle1" displayName="Tabelle1" ref="D2:T29" totalsRowShown="0" headerRowDxfId="110" dataDxfId="109">
  <autoFilter ref="D2:T29" xr:uid="{80F40308-7020-4ABD-92F6-9A19D872EB03}"/>
  <sortState xmlns:xlrd2="http://schemas.microsoft.com/office/spreadsheetml/2017/richdata2" ref="D4:T29">
    <sortCondition ref="D2:D29"/>
  </sortState>
  <tableColumns count="17">
    <tableColumn id="1" xr3:uid="{CFEFDE42-F311-4DF2-8800-60DB391008BE}" name="_Energieträger Mobilität" dataDxfId="108"/>
    <tableColumn id="18" xr3:uid="{C8845019-B8A4-45DB-B994-709F929F39D1}" name="_Energieträger Mobilität2" dataDxfId="107" dataCellStyle="Standard 2"/>
    <tableColumn id="2" xr3:uid="{4FF739F7-C508-4449-9DA8-7D38B776FC37}" name="Bezugseinheit" dataDxfId="106" dataCellStyle="Standard 2"/>
    <tableColumn id="3" xr3:uid="{5E6085E9-0053-4E7C-A2BA-01217497063D}" name="Heizwert" dataDxfId="105"/>
    <tableColumn id="4" xr3:uid="{24626D51-B80B-4456-846E-655A9ADF2A2E}" name="Einheit" dataDxfId="104"/>
    <tableColumn id="5" xr3:uid="{B54B2342-197A-4939-8522-C5F9FE3609AA}" name="Dichte" dataDxfId="103"/>
    <tableColumn id="6" xr3:uid="{48372B8B-29D4-4B83-AE83-AC7F0D20DB25}" name="Einheit2" dataDxfId="102"/>
    <tableColumn id="7" xr3:uid="{877B5E45-0DBE-44EC-AEA4-DD24152D73BD}" name="NOx" dataDxfId="101"/>
    <tableColumn id="8" xr3:uid="{DA648080-0EFC-43B7-876F-62591B39ADB3}" name="PM10" dataDxfId="100"/>
    <tableColumn id="9" xr3:uid="{973660F8-DCB3-44B6-B3D7-909DABBFCC14}" name="CO2" dataDxfId="99"/>
    <tableColumn id="10" xr3:uid="{A7B8E42C-016A-40A2-B884-22F0EFD51545}" name="THG_Faktor" dataDxfId="98"/>
    <tableColumn id="11" xr3:uid="{FF0D1090-5059-43E3-B55A-0DFB02C59017}" name="Einheit3" dataDxfId="97"/>
    <tableColumn id="12" xr3:uid="{C4EE05BE-98A7-40E2-AB9E-C89A7D45E365}" name="spez. Verbrauch" dataDxfId="96"/>
    <tableColumn id="13" xr3:uid="{10CBFAEA-1A8A-4F06-AEA0-7A319F99AC6A}" name="KEA (kumulierter Energieaufwand)" dataDxfId="95"/>
    <tableColumn id="14" xr3:uid="{9753B4C9-0473-4708-81F2-02BCD06B9759}" name="Einheit4" dataDxfId="94"/>
    <tableColumn id="16" xr3:uid="{A54055C2-661A-4899-A155-E4CF1D23AAC9}" name="Quelle" dataDxfId="93"/>
    <tableColumn id="17" xr3:uid="{8330F400-2473-44BB-880C-948738135CC6}" name="Kommentar" dataDxfId="92"/>
  </tableColumns>
  <tableStyleInfo name="TableStyleLight2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058299-138D-4725-B664-4FB9C1E7146D}" name="Tabelle4" displayName="Tabelle4" ref="D35:T74" totalsRowShown="0" headerRowDxfId="91" dataDxfId="90">
  <autoFilter ref="D35:T74" xr:uid="{DC058299-138D-4725-B664-4FB9C1E7146D}"/>
  <sortState xmlns:xlrd2="http://schemas.microsoft.com/office/spreadsheetml/2017/richdata2" ref="D36:T74">
    <sortCondition ref="D35:D74"/>
  </sortState>
  <tableColumns count="17">
    <tableColumn id="1" xr3:uid="{D42CDB58-B2FC-4F22-AAFC-1BDF4C4FA2C1}" name="_Energieträger Wärme Liegenschaften" dataDxfId="89"/>
    <tableColumn id="2" xr3:uid="{14759210-78B3-415A-8004-DB862DB4CCC7}" name="_Energieträger Wärme Liegenschaften2" dataDxfId="88"/>
    <tableColumn id="3" xr3:uid="{4FA11214-96FB-42C6-97ED-F20CBF738BAA}" name="Bezugseinheit" dataDxfId="87" dataCellStyle="Standard 2"/>
    <tableColumn id="4" xr3:uid="{86A850C7-83A6-47F8-83B2-BEAE66376CDE}" name="Heizwert" dataDxfId="86"/>
    <tableColumn id="5" xr3:uid="{8B513F44-997A-42BA-8FDA-B5034873467B}" name="Einheit" dataDxfId="85"/>
    <tableColumn id="6" xr3:uid="{D1B66606-8D34-4B6A-96A4-2F6A3C9042C5}" name="Dichte" dataDxfId="84"/>
    <tableColumn id="7" xr3:uid="{3E3974A9-7E44-4A2E-8BF4-1DF26B6A8942}" name="Einheit2" dataDxfId="83"/>
    <tableColumn id="8" xr3:uid="{F447F58D-35BE-458E-BE3E-888855F00789}" name="NOx" dataDxfId="82"/>
    <tableColumn id="9" xr3:uid="{0013C2E2-93D4-4DD6-85FE-59EC4F5A7175}" name="PM10" dataDxfId="81"/>
    <tableColumn id="10" xr3:uid="{826ABB63-26A2-4AB4-9F8A-D554C69E4DEC}" name="CO2" dataDxfId="80"/>
    <tableColumn id="11" xr3:uid="{BC353DE0-932B-4320-B2E0-3DA40D8C1002}" name="THG_Faktor" dataDxfId="79"/>
    <tableColumn id="12" xr3:uid="{975202DA-816A-4C80-B1C1-69CCE38195A5}" name="Einheit3" dataDxfId="78"/>
    <tableColumn id="13" xr3:uid="{3A33381E-82FA-4534-BEEF-7E5CAD2F9E5F}" name="spez. Verbrauch" dataDxfId="77"/>
    <tableColumn id="14" xr3:uid="{105AAA28-9C36-42ED-8190-74FA63492CEB}" name="KEA" dataDxfId="76"/>
    <tableColumn id="15" xr3:uid="{DAFEF2F4-4C2C-45E9-8C8C-1389EA0DC1B6}" name="Einheit4" dataDxfId="75"/>
    <tableColumn id="16" xr3:uid="{5E337888-1F84-4D13-B402-E7F2C5AEEAA8}" name="Quelle" dataDxfId="74"/>
    <tableColumn id="17" xr3:uid="{247617AD-9568-4C1E-9156-F860E28D24E4}" name="Kommentar" dataDxfId="73"/>
  </tableColumns>
  <tableStyleInfo name="TableStyleLight2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1A58EF1-D004-4A07-9B4B-46C0AE3C1AB7}" name="Tabelle6" displayName="Tabelle6" ref="D80:T92" totalsRowShown="0" headerRowDxfId="72" headerRowBorderDxfId="71" tableBorderDxfId="70">
  <autoFilter ref="D80:T92" xr:uid="{B1A58EF1-D004-4A07-9B4B-46C0AE3C1AB7}"/>
  <sortState xmlns:xlrd2="http://schemas.microsoft.com/office/spreadsheetml/2017/richdata2" ref="D81:T92">
    <sortCondition ref="D80:D92"/>
  </sortState>
  <tableColumns count="17">
    <tableColumn id="1" xr3:uid="{D6D81303-E59E-477A-B7F2-F96B04D128F2}" name="_Strombezug Liegenschaften/Mobilität " dataDxfId="69" dataCellStyle="Standard 2"/>
    <tableColumn id="2" xr3:uid="{BE74657A-4F1A-4FDD-B6B3-7B6F790F0DB7}" name="_Strombezug Liegenschaften/Mobilität 2" dataDxfId="68" dataCellStyle="Standard 2"/>
    <tableColumn id="3" xr3:uid="{66AE81F4-5AE1-4028-BBD9-88648FF2A848}" name="Bezugseinheit" dataDxfId="67" dataCellStyle="Standard 2"/>
    <tableColumn id="4" xr3:uid="{C13471C7-AA4D-4CDA-AA4F-181666BA3046}" name="Heizwert" dataDxfId="66" dataCellStyle="Standard 2"/>
    <tableColumn id="5" xr3:uid="{9443F81B-FA7F-4AAF-9100-AA294B4EB02A}" name="Einheit" dataDxfId="65" dataCellStyle="Standard 2"/>
    <tableColumn id="6" xr3:uid="{EFB99147-390B-4977-95C8-E5A4E8B23DEF}" name="Dichte" dataDxfId="64" dataCellStyle="Standard 2"/>
    <tableColumn id="7" xr3:uid="{877D9F1B-6526-4F41-8FCB-F3406ACD5FC7}" name="Einheit2" dataDxfId="63" dataCellStyle="Standard 2"/>
    <tableColumn id="8" xr3:uid="{E9B523B7-5377-4E1D-961C-B4B0D75E8BB4}" name="NOx" dataDxfId="62" dataCellStyle="Standard 2"/>
    <tableColumn id="9" xr3:uid="{D719128C-A883-431D-A0ED-AD766F35E31C}" name="PM10" dataDxfId="61" dataCellStyle="Standard 2"/>
    <tableColumn id="10" xr3:uid="{4DF50241-D9BD-4ED9-991B-FC05E0637FB5}" name="CO2" dataDxfId="60" dataCellStyle="Standard 2"/>
    <tableColumn id="11" xr3:uid="{E615886E-5B15-4923-9C0E-836471155217}" name="THG_Faktor" dataDxfId="59" dataCellStyle="Standard 2"/>
    <tableColumn id="12" xr3:uid="{AA069A69-1C4D-4AEB-8FD5-1B577F9348EC}" name="Einheit3" dataDxfId="58"/>
    <tableColumn id="13" xr3:uid="{AA2F5393-D3A4-4326-B9B6-D993658DB91A}" name="spez. Verbrauch" dataDxfId="57" dataCellStyle="Standard 2"/>
    <tableColumn id="14" xr3:uid="{952810FC-2789-4549-88BF-E5DF30F3E1A9}" name="KEA" dataDxfId="56" dataCellStyle="Standard 2"/>
    <tableColumn id="15" xr3:uid="{51E91E0C-E23D-4B3D-B4A4-F5FEFDBFA3F7}" name="Einheit4" dataDxfId="55" dataCellStyle="Standard 2"/>
    <tableColumn id="16" xr3:uid="{2C2043A1-B0CD-4167-8F1E-2CAB428EEA94}" name="Quelle" dataDxfId="54"/>
    <tableColumn id="17" xr3:uid="{CA03B404-1554-40DE-B137-0238A129E1B5}" name="Kommentar" dataDxfId="53" dataCellStyle="Standard 2"/>
  </tableColumns>
  <tableStyleInfo name="TableStyleLight2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85C6E6A-A624-46FE-997F-AB1B86F78218}" name="Tabelle7" displayName="Tabelle7" ref="D105:T149" totalsRowShown="0" headerRowDxfId="52" dataDxfId="50" headerRowBorderDxfId="51" tableBorderDxfId="49" totalsRowBorderDxfId="48" dataCellStyle="Standard 2">
  <autoFilter ref="D105:T149" xr:uid="{485C6E6A-A624-46FE-997F-AB1B86F78218}"/>
  <sortState xmlns:xlrd2="http://schemas.microsoft.com/office/spreadsheetml/2017/richdata2" ref="D106:T149">
    <sortCondition ref="D105:D149"/>
  </sortState>
  <tableColumns count="17">
    <tableColumn id="1" xr3:uid="{1E1FCF4D-1650-4E47-B457-A75240A0D090}" name="Bezeichnung" dataDxfId="47"/>
    <tableColumn id="2" xr3:uid="{0D97B8CE-C135-4C32-BFD7-566F02C30346}" name="Prozess" dataDxfId="46"/>
    <tableColumn id="3" xr3:uid="{16F62015-B737-4BAB-871D-89B33B0E0070}" name="Bezugseinheit2" dataDxfId="45" dataCellStyle="Standard 2"/>
    <tableColumn id="4" xr3:uid="{E52BA359-5921-4376-9642-7C22B6253B45}" name="Heizwert" dataDxfId="44"/>
    <tableColumn id="5" xr3:uid="{7429C763-8F21-4807-B571-A60564D059CC}" name="Einheit" dataDxfId="43"/>
    <tableColumn id="6" xr3:uid="{B7F531DB-B653-4BBE-B045-95306BD5818E}" name="Dichte" dataDxfId="42"/>
    <tableColumn id="7" xr3:uid="{E90E4ADA-1C77-4639-833F-74DECDB1CD04}" name="Einheit2" dataDxfId="41"/>
    <tableColumn id="8" xr3:uid="{2C6A38C7-D85C-4E26-AE70-C4A303A8CC9E}" name="NOx" dataDxfId="40"/>
    <tableColumn id="9" xr3:uid="{F6204AC6-6931-4A0B-ACD4-CF11AE89FF2C}" name="PM10" dataDxfId="39"/>
    <tableColumn id="10" xr3:uid="{84B9B957-F714-4163-9BCC-1145CCAE72B9}" name="CO2" dataDxfId="38"/>
    <tableColumn id="11" xr3:uid="{D48EEF63-DB0E-435D-B10C-1D93A407A2E7}" name="THG_Faktor" dataDxfId="37"/>
    <tableColumn id="12" xr3:uid="{1A790DB2-4101-4C3C-89B4-6DD087C80BD8}" name="Einheit3" dataDxfId="36"/>
    <tableColumn id="13" xr3:uid="{BE78B487-0D96-4602-A2E9-D29928B43FA7}" name="spez. Verbrauch" dataDxfId="35"/>
    <tableColumn id="14" xr3:uid="{B399F43A-FC34-4A11-8C73-F32D798CEF93}" name="KEA" dataDxfId="34"/>
    <tableColumn id="15" xr3:uid="{07BC1774-EBF2-4E27-A1E8-893768C0C536}" name="Einheit4" dataDxfId="33"/>
    <tableColumn id="16" xr3:uid="{8A4D9C29-824C-4C50-BACA-D58A21E4D628}" name="Quelle" dataDxfId="32"/>
    <tableColumn id="17" xr3:uid="{CEBF1691-63CC-4228-A686-4ADCEB8DD9B5}" name="Kommentar"/>
  </tableColumns>
  <tableStyleInfo name="TableStyleLight2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664156A-8293-454C-923C-069ECC3154A0}" name="Tabelle9" displayName="Tabelle9" ref="D158:T172" totalsRowShown="0" headerRowDxfId="31" dataDxfId="30" dataCellStyle="Standard 2">
  <autoFilter ref="D158:T172" xr:uid="{E664156A-8293-454C-923C-069ECC3154A0}"/>
  <tableColumns count="17">
    <tableColumn id="1" xr3:uid="{B380F48D-4C2F-46DE-8940-03DA0C7401D0}" name="Bezeichnung" dataDxfId="29" dataCellStyle="Standard 2"/>
    <tableColumn id="2" xr3:uid="{E82ACFC0-9DA0-47B6-9EB2-03B505F105C5}" name="Prozess" dataDxfId="28" dataCellStyle="Standard 2"/>
    <tableColumn id="3" xr3:uid="{B229EA53-F69C-4BAF-9CCB-59EBE8F6CDE6}" name="Bezugseinheit" dataDxfId="27" dataCellStyle="Standard 2"/>
    <tableColumn id="4" xr3:uid="{5715290C-8279-440C-919A-3B061CA5ED36}" name="Heizwert" dataDxfId="26" dataCellStyle="Standard 2"/>
    <tableColumn id="5" xr3:uid="{ECC8DAD8-72A6-444E-9722-3FEAE025B476}" name="Einheit" dataDxfId="25" dataCellStyle="Standard 2"/>
    <tableColumn id="6" xr3:uid="{75C6844D-9567-404C-8442-92B4D4F0CD56}" name="Dichte" dataDxfId="24" dataCellStyle="Standard 2"/>
    <tableColumn id="7" xr3:uid="{8E6BF6CA-606F-47B1-B698-BE91611A97BA}" name="Einheit2" dataDxfId="23" dataCellStyle="Standard 2"/>
    <tableColumn id="8" xr3:uid="{CD9B611A-3C9A-406E-A7F5-0C721BEAA0C9}" name="NOx" dataDxfId="22" dataCellStyle="Standard 2"/>
    <tableColumn id="9" xr3:uid="{04DC3275-4313-4C6F-96CC-E84B5B2C3957}" name="PM10" dataDxfId="21" dataCellStyle="Standard 2"/>
    <tableColumn id="10" xr3:uid="{F467DC21-FD21-4307-9572-5FF5AA11D052}" name="CO2" dataDxfId="20" dataCellStyle="Standard 2"/>
    <tableColumn id="11" xr3:uid="{1F300BFC-F959-47CF-BBFC-6A767AB9BF7C}" name="THG_Faktor" dataDxfId="19" dataCellStyle="Standard 2"/>
    <tableColumn id="12" xr3:uid="{A2C03AD1-7318-43CD-AC6A-F4014A44E0EC}" name="Einheit3" dataDxfId="18" dataCellStyle="Standard 2"/>
    <tableColumn id="13" xr3:uid="{D8272EB8-EB40-4B36-B1FA-51C0FBFA83CB}" name="spez. Verbrauch" dataDxfId="17" dataCellStyle="Standard 2"/>
    <tableColumn id="14" xr3:uid="{05E80E8F-8DD0-4032-9418-E92B43C0163C}" name="KEA" dataDxfId="16" dataCellStyle="Standard 2"/>
    <tableColumn id="15" xr3:uid="{C2EB7C0B-4548-408A-881D-BEDE9405F352}" name="Einheit4" dataDxfId="15" dataCellStyle="Standard 2"/>
    <tableColumn id="16" xr3:uid="{C9066EB1-E750-4BFA-B396-C008A43A810C}" name="Quelle" dataDxfId="14" dataCellStyle="Standard 2"/>
    <tableColumn id="17" xr3:uid="{3D29B25A-EE0F-46BD-B630-CD6AB08D3E80}" name="Kommentar" dataCellStyle="Standard 2"/>
  </tableColumns>
  <tableStyleInfo name="TableStyleLight2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A38AA0F-09D9-4B9F-A0F9-BC4FB2E0C4FA}" name="Tabelle3" displayName="Tabelle3" ref="B2:K10" totalsRowShown="0" headerRowDxfId="13" dataDxfId="12" tableBorderDxfId="11" totalsRowBorderDxfId="10" headerRowCellStyle="Standard 2" dataCellStyle="Standard 2">
  <autoFilter ref="B2:K10" xr:uid="{5A38AA0F-09D9-4B9F-A0F9-BC4FB2E0C4FA}"/>
  <tableColumns count="10">
    <tableColumn id="1" xr3:uid="{221E3785-7AAD-4EDD-A9CC-FAAE5D8DB154}" name="Kategorie" dataDxfId="9" dataCellStyle="Standard 2"/>
    <tableColumn id="2" xr3:uid="{0D7F97C5-3AFA-4488-BF18-4DB7059741DD}" name="Beschreibung" dataDxfId="8" dataCellStyle="Standard 2"/>
    <tableColumn id="3" xr3:uid="{ACEFC51A-E2AD-4CD2-A104-FC7998E768B7}" name="Bezeichnung" dataDxfId="7" dataCellStyle="Standard 2"/>
    <tableColumn id="4" xr3:uid="{985689A2-FA7D-4912-86FB-A2500E4B52D5}" name="NOx" dataDxfId="6" dataCellStyle="Standard 2"/>
    <tableColumn id="5" xr3:uid="{AC4D239E-7DC8-4C94-BDAA-88BD01C373C1}" name="PM10" dataDxfId="5" dataCellStyle="Standard 2"/>
    <tableColumn id="6" xr3:uid="{67E55303-D1EF-48C2-99B4-59E08BBF2E20}" name="CO2" dataDxfId="4" dataCellStyle="Standard 2"/>
    <tableColumn id="7" xr3:uid="{8749D0A6-E730-49DE-854C-F4DFC3E371FE}" name="THG_Gesamt" dataDxfId="3" dataCellStyle="Standard 2"/>
    <tableColumn id="8" xr3:uid="{BAE48F77-9BED-4282-AA86-EE21A6F4544D}" name="Einheit" dataDxfId="2" dataCellStyle="Standard 2"/>
    <tableColumn id="9" xr3:uid="{E8033E36-628E-4CBC-A37A-D3E63309DCCE}" name="Bezug" dataDxfId="1" dataCellStyle="Standard 2"/>
    <tableColumn id="10" xr3:uid="{1AB7AC34-E11D-45D6-BD4B-E83F123CF7F0}" name="Quelle" dataDxfId="0" dataCellStyle="Standard 2"/>
  </tableColumns>
  <tableStyleInfo name="TableStyleLight21"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de.wikipedia.org/wiki/Personenkilometer" TargetMode="External"/><Relationship Id="rId1" Type="http://schemas.openxmlformats.org/officeDocument/2006/relationships/hyperlink" Target="https://de.wikipedia.org/wiki/Tonnenkilometer" TargetMode="External"/><Relationship Id="rId6" Type="http://schemas.openxmlformats.org/officeDocument/2006/relationships/comments" Target="../comments7.xml"/><Relationship Id="rId5" Type="http://schemas.openxmlformats.org/officeDocument/2006/relationships/vmlDrawing" Target="../drawings/vmlDrawing7.vml"/><Relationship Id="rId4"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de.wikipedia.org/wiki/Tonnenkilometer" TargetMode="External"/><Relationship Id="rId1" Type="http://schemas.openxmlformats.org/officeDocument/2006/relationships/hyperlink" Target="https://de.wikipedia.org/wiki/Personenkilometer" TargetMode="External"/><Relationship Id="rId6" Type="http://schemas.openxmlformats.org/officeDocument/2006/relationships/comments" Target="../comments8.xml"/><Relationship Id="rId5" Type="http://schemas.openxmlformats.org/officeDocument/2006/relationships/vmlDrawing" Target="../drawings/vmlDrawing8.vml"/><Relationship Id="rId4"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13.bin"/><Relationship Id="rId4" Type="http://schemas.openxmlformats.org/officeDocument/2006/relationships/comments" Target="../comments9.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14.bin"/><Relationship Id="rId4" Type="http://schemas.openxmlformats.org/officeDocument/2006/relationships/comments" Target="../comments10.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5.bin"/><Relationship Id="rId4" Type="http://schemas.openxmlformats.org/officeDocument/2006/relationships/comments" Target="../comments11.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16.bin"/><Relationship Id="rId4" Type="http://schemas.openxmlformats.org/officeDocument/2006/relationships/comments" Target="../comments12.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5.xml"/><Relationship Id="rId1" Type="http://schemas.openxmlformats.org/officeDocument/2006/relationships/printerSettings" Target="../printerSettings/printerSettings17.bin"/><Relationship Id="rId4" Type="http://schemas.openxmlformats.org/officeDocument/2006/relationships/comments" Target="../comments13.xml"/></Relationships>
</file>

<file path=xl/worksheets/_rels/sheet18.xml.rels><?xml version="1.0" encoding="UTF-8" standalone="yes"?>
<Relationships xmlns="http://schemas.openxmlformats.org/package/2006/relationships"><Relationship Id="rId117" Type="http://schemas.openxmlformats.org/officeDocument/2006/relationships/hyperlink" Target="https://www.umweltbundesamt.de/sites/default/files/medien/377/publikationen/endbericht_oko-apc_2016_09_27.pdf" TargetMode="External"/><Relationship Id="rId21" Type="http://schemas.openxmlformats.org/officeDocument/2006/relationships/hyperlink" Target="https://www.klimatarier.com/de/CO2_Rechner" TargetMode="External"/><Relationship Id="rId63" Type="http://schemas.openxmlformats.org/officeDocument/2006/relationships/hyperlink" Target="https://www.klimatarier.com/at/CO2_Rechner" TargetMode="External"/><Relationship Id="rId159" Type="http://schemas.openxmlformats.org/officeDocument/2006/relationships/hyperlink" Target="https://www.scope3transparent.de/unternehmen/" TargetMode="External"/><Relationship Id="rId170" Type="http://schemas.openxmlformats.org/officeDocument/2006/relationships/hyperlink" Target="https://www.scope3transparent.de/unternehmen/" TargetMode="External"/><Relationship Id="rId226" Type="http://schemas.openxmlformats.org/officeDocument/2006/relationships/hyperlink" Target="https://www.scope3transparent.de/unternehmen/" TargetMode="External"/><Relationship Id="rId268" Type="http://schemas.openxmlformats.org/officeDocument/2006/relationships/hyperlink" Target="https://www.scope3transparent.de/unternehmen/" TargetMode="External"/><Relationship Id="rId32" Type="http://schemas.openxmlformats.org/officeDocument/2006/relationships/hyperlink" Target="https://www.klimatarier.com/de/CO2_Rechner" TargetMode="External"/><Relationship Id="rId74" Type="http://schemas.openxmlformats.org/officeDocument/2006/relationships/hyperlink" Target="https://www.klimatarier.com/at/CO2_Rechner" TargetMode="External"/><Relationship Id="rId128" Type="http://schemas.openxmlformats.org/officeDocument/2006/relationships/hyperlink" Target="https://www.scope3transparent.de/unternehmen/" TargetMode="External"/><Relationship Id="rId5" Type="http://schemas.openxmlformats.org/officeDocument/2006/relationships/hyperlink" Target="https://www.fr.de/wissen/beim-kaffee-faengt-co2-ausstoss-11478061.html" TargetMode="External"/><Relationship Id="rId181" Type="http://schemas.openxmlformats.org/officeDocument/2006/relationships/hyperlink" Target="https://www.scope3transparent.de/unternehmen/" TargetMode="External"/><Relationship Id="rId237" Type="http://schemas.openxmlformats.org/officeDocument/2006/relationships/hyperlink" Target="https://www.scope3transparent.de/unternehmen/" TargetMode="External"/><Relationship Id="rId279" Type="http://schemas.openxmlformats.org/officeDocument/2006/relationships/hyperlink" Target="https://www.scope3transparent.de/unternehmen/" TargetMode="External"/><Relationship Id="rId43" Type="http://schemas.openxmlformats.org/officeDocument/2006/relationships/hyperlink" Target="https://www.klimatarier.com/at/CO2_Rechner" TargetMode="External"/><Relationship Id="rId139" Type="http://schemas.openxmlformats.org/officeDocument/2006/relationships/hyperlink" Target="https://www.scope3transparent.de/unternehmen/" TargetMode="External"/><Relationship Id="rId290" Type="http://schemas.openxmlformats.org/officeDocument/2006/relationships/printerSettings" Target="../printerSettings/printerSettings18.bin"/><Relationship Id="rId85" Type="http://schemas.openxmlformats.org/officeDocument/2006/relationships/hyperlink" Target="https://www.klimatarier.com/de/CO2_Rechner" TargetMode="External"/><Relationship Id="rId150" Type="http://schemas.openxmlformats.org/officeDocument/2006/relationships/hyperlink" Target="https://www.scope3transparent.de/unternehmen/" TargetMode="External"/><Relationship Id="rId192" Type="http://schemas.openxmlformats.org/officeDocument/2006/relationships/hyperlink" Target="https://www.scope3transparent.de/unternehmen/" TargetMode="External"/><Relationship Id="rId206" Type="http://schemas.openxmlformats.org/officeDocument/2006/relationships/hyperlink" Target="https://www.scope3transparent.de/unternehmen/" TargetMode="External"/><Relationship Id="rId248" Type="http://schemas.openxmlformats.org/officeDocument/2006/relationships/hyperlink" Target="https://www.scope3transparent.de/unternehmen/" TargetMode="External"/><Relationship Id="rId12" Type="http://schemas.openxmlformats.org/officeDocument/2006/relationships/hyperlink" Target="https://www.klimatarier.com/de/CO2_Rechner" TargetMode="External"/><Relationship Id="rId33" Type="http://schemas.openxmlformats.org/officeDocument/2006/relationships/hyperlink" Target="https://www.klimatarier.com/de/CO2_Rechner" TargetMode="External"/><Relationship Id="rId108" Type="http://schemas.openxmlformats.org/officeDocument/2006/relationships/hyperlink" Target="https://www.probas.umweltbundesamt.de/php/prozessdetails.php?id=%7b4F44E475-53C0-41BD-9F5A-0359EA513586%7d" TargetMode="External"/><Relationship Id="rId129" Type="http://schemas.openxmlformats.org/officeDocument/2006/relationships/hyperlink" Target="https://www.scope3transparent.de/unternehmen/" TargetMode="External"/><Relationship Id="rId280" Type="http://schemas.openxmlformats.org/officeDocument/2006/relationships/hyperlink" Target="https://www.scope3transparent.de/unternehmen/" TargetMode="External"/><Relationship Id="rId54" Type="http://schemas.openxmlformats.org/officeDocument/2006/relationships/hyperlink" Target="https://eatsmarter.de/lexikon/warenkunde/gewuerze/koriander" TargetMode="External"/><Relationship Id="rId75" Type="http://schemas.openxmlformats.org/officeDocument/2006/relationships/hyperlink" Target="https://www.klimatarier.com/at/CO2_Rechner" TargetMode="External"/><Relationship Id="rId96" Type="http://schemas.openxmlformats.org/officeDocument/2006/relationships/hyperlink" Target="https://www.probas.umweltbundesamt.de/php/prozessdetails.php?id=%7bE608C47E-D3ED-4B69-AD43-9D90E9A76CDA%7d" TargetMode="External"/><Relationship Id="rId140" Type="http://schemas.openxmlformats.org/officeDocument/2006/relationships/hyperlink" Target="https://www.scope3transparent.de/unternehmen/" TargetMode="External"/><Relationship Id="rId161" Type="http://schemas.openxmlformats.org/officeDocument/2006/relationships/hyperlink" Target="https://www.scope3transparent.de/unternehmen/" TargetMode="External"/><Relationship Id="rId182" Type="http://schemas.openxmlformats.org/officeDocument/2006/relationships/hyperlink" Target="https://www.scope3transparent.de/unternehmen/" TargetMode="External"/><Relationship Id="rId217" Type="http://schemas.openxmlformats.org/officeDocument/2006/relationships/hyperlink" Target="https://www.scope3transparent.de/unternehmen/" TargetMode="External"/><Relationship Id="rId6" Type="http://schemas.openxmlformats.org/officeDocument/2006/relationships/hyperlink" Target="https://de.statista.com/statistik/daten/studie/1074324/umfrage/zusammensetzung-der-co2-emissionen-bei-der-herstellung-von-e-autobatterien" TargetMode="External"/><Relationship Id="rId238" Type="http://schemas.openxmlformats.org/officeDocument/2006/relationships/hyperlink" Target="https://www.scope3transparent.de/unternehmen/" TargetMode="External"/><Relationship Id="rId259" Type="http://schemas.openxmlformats.org/officeDocument/2006/relationships/hyperlink" Target="https://www.scope3transparent.de/unternehmen/" TargetMode="External"/><Relationship Id="rId23" Type="http://schemas.openxmlformats.org/officeDocument/2006/relationships/hyperlink" Target="https://www.klimatarier.com/de/CO2_Rechner" TargetMode="External"/><Relationship Id="rId119" Type="http://schemas.openxmlformats.org/officeDocument/2006/relationships/hyperlink" Target="https://www.umweltbundesamt.de/sites/default/files/medien/377/publikationen/endbericht_oko-apc_2016_09_27.pdf" TargetMode="External"/><Relationship Id="rId270" Type="http://schemas.openxmlformats.org/officeDocument/2006/relationships/hyperlink" Target="https://www.scope3transparent.de/unternehmen/" TargetMode="External"/><Relationship Id="rId291" Type="http://schemas.openxmlformats.org/officeDocument/2006/relationships/drawing" Target="../drawings/drawing16.xml"/><Relationship Id="rId44" Type="http://schemas.openxmlformats.org/officeDocument/2006/relationships/hyperlink" Target="https://www.klimatarier.com/at/CO2_Rechner" TargetMode="External"/><Relationship Id="rId65" Type="http://schemas.openxmlformats.org/officeDocument/2006/relationships/hyperlink" Target="https://www.klimatarier.com/at/CO2_Rechner" TargetMode="External"/><Relationship Id="rId86" Type="http://schemas.openxmlformats.org/officeDocument/2006/relationships/hyperlink" Target="https://www.klimatarier.com/de/CO2_Rechner" TargetMode="External"/><Relationship Id="rId130" Type="http://schemas.openxmlformats.org/officeDocument/2006/relationships/hyperlink" Target="https://www.scope3transparent.de/unternehmen/" TargetMode="External"/><Relationship Id="rId151" Type="http://schemas.openxmlformats.org/officeDocument/2006/relationships/hyperlink" Target="https://www.scope3transparent.de/unternehmen/" TargetMode="External"/><Relationship Id="rId172" Type="http://schemas.openxmlformats.org/officeDocument/2006/relationships/hyperlink" Target="https://www.scope3transparent.de/unternehmen/" TargetMode="External"/><Relationship Id="rId193" Type="http://schemas.openxmlformats.org/officeDocument/2006/relationships/hyperlink" Target="https://www.scope3transparent.de/unternehmen/" TargetMode="External"/><Relationship Id="rId207" Type="http://schemas.openxmlformats.org/officeDocument/2006/relationships/hyperlink" Target="https://www.scope3transparent.de/unternehmen/" TargetMode="External"/><Relationship Id="rId228" Type="http://schemas.openxmlformats.org/officeDocument/2006/relationships/hyperlink" Target="https://www.scope3transparent.de/unternehmen/" TargetMode="External"/><Relationship Id="rId249" Type="http://schemas.openxmlformats.org/officeDocument/2006/relationships/hyperlink" Target="https://www.scope3transparent.de/unternehmen/" TargetMode="External"/><Relationship Id="rId13" Type="http://schemas.openxmlformats.org/officeDocument/2006/relationships/hyperlink" Target="https://www.klimatarier.com/de/CO2_Rechner" TargetMode="External"/><Relationship Id="rId109" Type="http://schemas.openxmlformats.org/officeDocument/2006/relationships/hyperlink" Target="https://www.probas.umweltbundesamt.de/php/prozessdetails.php?id=%7b5940E429-2731-4FA6-81D1-9D745EDDC8B3%7d" TargetMode="External"/><Relationship Id="rId260" Type="http://schemas.openxmlformats.org/officeDocument/2006/relationships/hyperlink" Target="https://www.scope3transparent.de/unternehmen/" TargetMode="External"/><Relationship Id="rId281" Type="http://schemas.openxmlformats.org/officeDocument/2006/relationships/hyperlink" Target="https://www.scope3transparent.de/unternehmen/" TargetMode="External"/><Relationship Id="rId34" Type="http://schemas.openxmlformats.org/officeDocument/2006/relationships/hyperlink" Target="https://www.klimatarier.com/de/CO2_Rechner" TargetMode="External"/><Relationship Id="rId55" Type="http://schemas.openxmlformats.org/officeDocument/2006/relationships/hyperlink" Target="https://eatsmarter.de/lexikon/warenkunde/obst/mandarinen" TargetMode="External"/><Relationship Id="rId76" Type="http://schemas.openxmlformats.org/officeDocument/2006/relationships/hyperlink" Target="https://www.klimatarier.com/at/CO2_Rechner" TargetMode="External"/><Relationship Id="rId97" Type="http://schemas.openxmlformats.org/officeDocument/2006/relationships/hyperlink" Target="https://www.probas.umweltbundesamt.de/php/prozessdetails.php?id=%7b01EEF595-E7E8-48C7-8553-67365C9265F0%7d" TargetMode="External"/><Relationship Id="rId120" Type="http://schemas.openxmlformats.org/officeDocument/2006/relationships/hyperlink" Target="https://www.umweltbundesamt.de/sites/default/files/medien/377/publikationen/endbericht_oko-apc_2016_09_27.pdf" TargetMode="External"/><Relationship Id="rId141" Type="http://schemas.openxmlformats.org/officeDocument/2006/relationships/hyperlink" Target="https://www.scope3transparent.de/unternehmen/" TargetMode="External"/><Relationship Id="rId7" Type="http://schemas.openxmlformats.org/officeDocument/2006/relationships/hyperlink" Target="https://www.papiernetz.de/informationen/nachhaltigkeitsrechner/" TargetMode="External"/><Relationship Id="rId162" Type="http://schemas.openxmlformats.org/officeDocument/2006/relationships/hyperlink" Target="https://www.scope3transparent.de/unternehmen/" TargetMode="External"/><Relationship Id="rId183" Type="http://schemas.openxmlformats.org/officeDocument/2006/relationships/hyperlink" Target="https://www.scope3transparent.de/unternehmen/" TargetMode="External"/><Relationship Id="rId218" Type="http://schemas.openxmlformats.org/officeDocument/2006/relationships/hyperlink" Target="https://www.scope3transparent.de/unternehmen/" TargetMode="External"/><Relationship Id="rId239" Type="http://schemas.openxmlformats.org/officeDocument/2006/relationships/hyperlink" Target="https://www.scope3transparent.de/unternehmen/" TargetMode="External"/><Relationship Id="rId250" Type="http://schemas.openxmlformats.org/officeDocument/2006/relationships/hyperlink" Target="https://www.scope3transparent.de/unternehmen/" TargetMode="External"/><Relationship Id="rId271" Type="http://schemas.openxmlformats.org/officeDocument/2006/relationships/hyperlink" Target="https://www.scope3transparent.de/unternehmen/" TargetMode="External"/><Relationship Id="rId292" Type="http://schemas.openxmlformats.org/officeDocument/2006/relationships/vmlDrawing" Target="../drawings/vmlDrawing14.vml"/><Relationship Id="rId24" Type="http://schemas.openxmlformats.org/officeDocument/2006/relationships/hyperlink" Target="https://www.klimatarier.com/de/CO2_Rechner" TargetMode="External"/><Relationship Id="rId45" Type="http://schemas.openxmlformats.org/officeDocument/2006/relationships/hyperlink" Target="https://www.klimatarier.com/at/CO2_Rechner" TargetMode="External"/><Relationship Id="rId66" Type="http://schemas.openxmlformats.org/officeDocument/2006/relationships/hyperlink" Target="https://www.klimatarier.com/de/CO2_Rechner" TargetMode="External"/><Relationship Id="rId87" Type="http://schemas.openxmlformats.org/officeDocument/2006/relationships/hyperlink" Target="https://www.klimatarier.com/de/CO2_Rechner" TargetMode="External"/><Relationship Id="rId110" Type="http://schemas.openxmlformats.org/officeDocument/2006/relationships/hyperlink" Target="https://www.probas.umweltbundesamt.de/php/prozessdetails.php?id=%7b7D803D25-E3D0-406C-8A4E-C883F6FEB851%7d" TargetMode="External"/><Relationship Id="rId131" Type="http://schemas.openxmlformats.org/officeDocument/2006/relationships/hyperlink" Target="https://www.scope3transparent.de/unternehmen/" TargetMode="External"/><Relationship Id="rId152" Type="http://schemas.openxmlformats.org/officeDocument/2006/relationships/hyperlink" Target="https://www.scope3transparent.de/unternehmen/" TargetMode="External"/><Relationship Id="rId173" Type="http://schemas.openxmlformats.org/officeDocument/2006/relationships/hyperlink" Target="https://www.scope3transparent.de/unternehmen/" TargetMode="External"/><Relationship Id="rId194" Type="http://schemas.openxmlformats.org/officeDocument/2006/relationships/hyperlink" Target="https://www.scope3transparent.de/unternehmen/" TargetMode="External"/><Relationship Id="rId208" Type="http://schemas.openxmlformats.org/officeDocument/2006/relationships/hyperlink" Target="https://www.scope3transparent.de/unternehmen/" TargetMode="External"/><Relationship Id="rId229" Type="http://schemas.openxmlformats.org/officeDocument/2006/relationships/hyperlink" Target="https://www.scope3transparent.de/unternehmen/" TargetMode="External"/><Relationship Id="rId240" Type="http://schemas.openxmlformats.org/officeDocument/2006/relationships/hyperlink" Target="https://www.scope3transparent.de/unternehmen/" TargetMode="External"/><Relationship Id="rId261" Type="http://schemas.openxmlformats.org/officeDocument/2006/relationships/hyperlink" Target="https://www.scope3transparent.de/unternehmen/" TargetMode="External"/><Relationship Id="rId14" Type="http://schemas.openxmlformats.org/officeDocument/2006/relationships/hyperlink" Target="https://www.klimatarier.com/de/CO2_Rechner" TargetMode="External"/><Relationship Id="rId35" Type="http://schemas.openxmlformats.org/officeDocument/2006/relationships/hyperlink" Target="https://www.klimatarier.com/de/CO2_Rechner" TargetMode="External"/><Relationship Id="rId56" Type="http://schemas.openxmlformats.org/officeDocument/2006/relationships/hyperlink" Target="https://eatsmarter.de/lexikon/warenkunde/kohl/sauerkraut" TargetMode="External"/><Relationship Id="rId77" Type="http://schemas.openxmlformats.org/officeDocument/2006/relationships/hyperlink" Target="https://www.klimatarier.com/de/CO2_Rechner" TargetMode="External"/><Relationship Id="rId100" Type="http://schemas.openxmlformats.org/officeDocument/2006/relationships/hyperlink" Target="https://www.probas.umweltbundesamt.de/php/prozessdetails.php?id=%7bFAAD1AF4-C087-4760-A5F6-1D80BC6C2B55%7d" TargetMode="External"/><Relationship Id="rId282" Type="http://schemas.openxmlformats.org/officeDocument/2006/relationships/hyperlink" Target="https://www.scope3transparent.de/unternehmen/" TargetMode="External"/><Relationship Id="rId8" Type="http://schemas.openxmlformats.org/officeDocument/2006/relationships/hyperlink" Target="https://www.papiernetz.de/informationen/nachhaltigkeitsrechner/" TargetMode="External"/><Relationship Id="rId98" Type="http://schemas.openxmlformats.org/officeDocument/2006/relationships/hyperlink" Target="https://www.probas.umweltbundesamt.de/php/prozessdetails.php?id=%7b330A9C89-A696-44BB-AB6F-370FFC9FF2BA%7d" TargetMode="External"/><Relationship Id="rId121" Type="http://schemas.openxmlformats.org/officeDocument/2006/relationships/hyperlink" Target="https://www.umweltbundesamt.de/sites/default/files/medien/377/publikationen/endbericht_oko-apc_2016_09_27.pdf" TargetMode="External"/><Relationship Id="rId142" Type="http://schemas.openxmlformats.org/officeDocument/2006/relationships/hyperlink" Target="https://www.scope3transparent.de/unternehmen/" TargetMode="External"/><Relationship Id="rId163" Type="http://schemas.openxmlformats.org/officeDocument/2006/relationships/hyperlink" Target="https://www.scope3transparent.de/unternehmen/" TargetMode="External"/><Relationship Id="rId184" Type="http://schemas.openxmlformats.org/officeDocument/2006/relationships/hyperlink" Target="https://www.scope3transparent.de/unternehmen/" TargetMode="External"/><Relationship Id="rId219" Type="http://schemas.openxmlformats.org/officeDocument/2006/relationships/hyperlink" Target="https://www.scope3transparent.de/unternehmen/" TargetMode="External"/><Relationship Id="rId230" Type="http://schemas.openxmlformats.org/officeDocument/2006/relationships/hyperlink" Target="https://www.scope3transparent.de/unternehmen/" TargetMode="External"/><Relationship Id="rId251" Type="http://schemas.openxmlformats.org/officeDocument/2006/relationships/hyperlink" Target="https://www.scope3transparent.de/unternehmen/" TargetMode="External"/><Relationship Id="rId25" Type="http://schemas.openxmlformats.org/officeDocument/2006/relationships/hyperlink" Target="https://www.klimatarier.com/de/CO2_Rechner" TargetMode="External"/><Relationship Id="rId46" Type="http://schemas.openxmlformats.org/officeDocument/2006/relationships/hyperlink" Target="https://www.klimatarier.com/at/CO2_Rechner" TargetMode="External"/><Relationship Id="rId67" Type="http://schemas.openxmlformats.org/officeDocument/2006/relationships/hyperlink" Target="https://www.klimatarier.com/at/CO2_Rechner" TargetMode="External"/><Relationship Id="rId272" Type="http://schemas.openxmlformats.org/officeDocument/2006/relationships/hyperlink" Target="https://www.scope3transparent.de/unternehmen/" TargetMode="External"/><Relationship Id="rId293" Type="http://schemas.openxmlformats.org/officeDocument/2006/relationships/table" Target="../tables/table1.xml"/><Relationship Id="rId88" Type="http://schemas.openxmlformats.org/officeDocument/2006/relationships/hyperlink" Target="https://www.klimatarier.com/de/CO2_Rechner" TargetMode="External"/><Relationship Id="rId111" Type="http://schemas.openxmlformats.org/officeDocument/2006/relationships/hyperlink" Target="https://www.probas.umweltbundesamt.de/php/prozessdetails.php?id=%7b25EB12F5-7A9B-425D-AC38-AAFE68C10831%7d" TargetMode="External"/><Relationship Id="rId132" Type="http://schemas.openxmlformats.org/officeDocument/2006/relationships/hyperlink" Target="https://www.scope3transparent.de/unternehmen/" TargetMode="External"/><Relationship Id="rId153" Type="http://schemas.openxmlformats.org/officeDocument/2006/relationships/hyperlink" Target="https://www.scope3transparent.de/unternehmen/" TargetMode="External"/><Relationship Id="rId174" Type="http://schemas.openxmlformats.org/officeDocument/2006/relationships/hyperlink" Target="https://www.scope3transparent.de/unternehmen/" TargetMode="External"/><Relationship Id="rId195" Type="http://schemas.openxmlformats.org/officeDocument/2006/relationships/hyperlink" Target="https://www.scope3transparent.de/unternehmen/" TargetMode="External"/><Relationship Id="rId209" Type="http://schemas.openxmlformats.org/officeDocument/2006/relationships/hyperlink" Target="https://www.scope3transparent.de/unternehmen/" TargetMode="External"/><Relationship Id="rId220" Type="http://schemas.openxmlformats.org/officeDocument/2006/relationships/hyperlink" Target="https://www.scope3transparent.de/unternehmen/" TargetMode="External"/><Relationship Id="rId241" Type="http://schemas.openxmlformats.org/officeDocument/2006/relationships/hyperlink" Target="https://www.scope3transparent.de/unternehmen/" TargetMode="External"/><Relationship Id="rId15" Type="http://schemas.openxmlformats.org/officeDocument/2006/relationships/hyperlink" Target="https://www.klimatarier.com/de/CO2_Rechner" TargetMode="External"/><Relationship Id="rId36" Type="http://schemas.openxmlformats.org/officeDocument/2006/relationships/hyperlink" Target="https://www.klimatarier.com/de/CO2_Rechner" TargetMode="External"/><Relationship Id="rId57" Type="http://schemas.openxmlformats.org/officeDocument/2006/relationships/hyperlink" Target="https://www.klimatarier.com/at/CO2_Rechner" TargetMode="External"/><Relationship Id="rId262" Type="http://schemas.openxmlformats.org/officeDocument/2006/relationships/hyperlink" Target="https://www.scope3transparent.de/unternehmen/" TargetMode="External"/><Relationship Id="rId283" Type="http://schemas.openxmlformats.org/officeDocument/2006/relationships/hyperlink" Target="https://www.scope3transparent.de/unternehmen/" TargetMode="External"/><Relationship Id="rId78" Type="http://schemas.openxmlformats.org/officeDocument/2006/relationships/hyperlink" Target="https://www.klimatarier.com/de/CO2_Rechner" TargetMode="External"/><Relationship Id="rId99" Type="http://schemas.openxmlformats.org/officeDocument/2006/relationships/hyperlink" Target="https://www.probas.umweltbundesamt.de/php/prozessdetails.php?id=%7bE92D71D6-3D2F-458A-804F-3C13D77C779D%7d" TargetMode="External"/><Relationship Id="rId101" Type="http://schemas.openxmlformats.org/officeDocument/2006/relationships/hyperlink" Target="https://www.probas.umweltbundesamt.de/php/prozessdetails.php?id=%7b17EE0594-3CF6-4901-8690-6019418504BE%7d" TargetMode="External"/><Relationship Id="rId122" Type="http://schemas.openxmlformats.org/officeDocument/2006/relationships/hyperlink" Target="https://www.umweltbundesamt.de/sites/default/files/medien/377/publikationen/endbericht_oko-apc_2016_09_27.pdf" TargetMode="External"/><Relationship Id="rId143" Type="http://schemas.openxmlformats.org/officeDocument/2006/relationships/hyperlink" Target="https://www.scope3transparent.de/unternehmen/" TargetMode="External"/><Relationship Id="rId164" Type="http://schemas.openxmlformats.org/officeDocument/2006/relationships/hyperlink" Target="https://www.scope3transparent.de/unternehmen/" TargetMode="External"/><Relationship Id="rId185" Type="http://schemas.openxmlformats.org/officeDocument/2006/relationships/hyperlink" Target="https://www.scope3transparent.de/unternehmen/" TargetMode="External"/><Relationship Id="rId9" Type="http://schemas.openxmlformats.org/officeDocument/2006/relationships/hyperlink" Target="https://www.klimatarier.com/de/CO2_Rechner" TargetMode="External"/><Relationship Id="rId210" Type="http://schemas.openxmlformats.org/officeDocument/2006/relationships/hyperlink" Target="https://www.scope3transparent.de/unternehmen/" TargetMode="External"/><Relationship Id="rId26" Type="http://schemas.openxmlformats.org/officeDocument/2006/relationships/hyperlink" Target="https://www.klimatarier.com/de/CO2_Rechner" TargetMode="External"/><Relationship Id="rId231" Type="http://schemas.openxmlformats.org/officeDocument/2006/relationships/hyperlink" Target="https://www.scope3transparent.de/unternehmen/" TargetMode="External"/><Relationship Id="rId252" Type="http://schemas.openxmlformats.org/officeDocument/2006/relationships/hyperlink" Target="https://www.scope3transparent.de/unternehmen/" TargetMode="External"/><Relationship Id="rId273" Type="http://schemas.openxmlformats.org/officeDocument/2006/relationships/hyperlink" Target="https://www.scope3transparent.de/unternehmen/" TargetMode="External"/><Relationship Id="rId294" Type="http://schemas.openxmlformats.org/officeDocument/2006/relationships/comments" Target="../comments14.xml"/><Relationship Id="rId47" Type="http://schemas.openxmlformats.org/officeDocument/2006/relationships/hyperlink" Target="https://www.klimatarier.com/at/CO2_Rechner" TargetMode="External"/><Relationship Id="rId68" Type="http://schemas.openxmlformats.org/officeDocument/2006/relationships/hyperlink" Target="https://www.klimatarier.com/at/CO2_Rechner" TargetMode="External"/><Relationship Id="rId89" Type="http://schemas.openxmlformats.org/officeDocument/2006/relationships/hyperlink" Target="https://www.probas.umweltbundesamt.de/php/prozessdetails.php?id=%7bE22B8A45-BD70-4BF3-B114-96A0A798FB8C%7d" TargetMode="External"/><Relationship Id="rId112" Type="http://schemas.openxmlformats.org/officeDocument/2006/relationships/hyperlink" Target="https://www.umweltbundesamt.de/sites/default/files/medien/377/publikationen/endbericht_oko-apc_2016_09_27.pdf" TargetMode="External"/><Relationship Id="rId133" Type="http://schemas.openxmlformats.org/officeDocument/2006/relationships/hyperlink" Target="https://www.scope3transparent.de/unternehmen/" TargetMode="External"/><Relationship Id="rId154" Type="http://schemas.openxmlformats.org/officeDocument/2006/relationships/hyperlink" Target="https://www.scope3transparent.de/unternehmen/" TargetMode="External"/><Relationship Id="rId175" Type="http://schemas.openxmlformats.org/officeDocument/2006/relationships/hyperlink" Target="https://www.scope3transparent.de/unternehmen/" TargetMode="External"/><Relationship Id="rId196" Type="http://schemas.openxmlformats.org/officeDocument/2006/relationships/hyperlink" Target="https://www.scope3transparent.de/unternehmen/" TargetMode="External"/><Relationship Id="rId200" Type="http://schemas.openxmlformats.org/officeDocument/2006/relationships/hyperlink" Target="https://www.scope3transparent.de/unternehmen/" TargetMode="External"/><Relationship Id="rId16" Type="http://schemas.openxmlformats.org/officeDocument/2006/relationships/hyperlink" Target="https://www.klimatarier.com/de/CO2_Rechner" TargetMode="External"/><Relationship Id="rId221" Type="http://schemas.openxmlformats.org/officeDocument/2006/relationships/hyperlink" Target="https://www.scope3transparent.de/unternehmen/" TargetMode="External"/><Relationship Id="rId242" Type="http://schemas.openxmlformats.org/officeDocument/2006/relationships/hyperlink" Target="https://www.scope3transparent.de/unternehmen/" TargetMode="External"/><Relationship Id="rId263" Type="http://schemas.openxmlformats.org/officeDocument/2006/relationships/hyperlink" Target="https://www.scope3transparent.de/unternehmen/" TargetMode="External"/><Relationship Id="rId284" Type="http://schemas.openxmlformats.org/officeDocument/2006/relationships/hyperlink" Target="https://www.scope3transparent.de/unternehmen/" TargetMode="External"/><Relationship Id="rId37" Type="http://schemas.openxmlformats.org/officeDocument/2006/relationships/hyperlink" Target="https://www.klimatarier.com/de/CO2_Rechner" TargetMode="External"/><Relationship Id="rId58" Type="http://schemas.openxmlformats.org/officeDocument/2006/relationships/hyperlink" Target="https://www.klimatarier.com/de/CO2_Rechner" TargetMode="External"/><Relationship Id="rId79" Type="http://schemas.openxmlformats.org/officeDocument/2006/relationships/hyperlink" Target="https://www.klimatarier.com/de/CO2_Rechner" TargetMode="External"/><Relationship Id="rId102" Type="http://schemas.openxmlformats.org/officeDocument/2006/relationships/hyperlink" Target="https://www.probas.umweltbundesamt.de/php/prozessdetails.php?id=%7b48CFC911-59BE-4B9A-B1B0-41FE2AA152A8%7d" TargetMode="External"/><Relationship Id="rId123" Type="http://schemas.openxmlformats.org/officeDocument/2006/relationships/hyperlink" Target="https://www.umweltbundesamt.de/sites/default/files/medien/377/publikationen/endbericht_oko-apc_2016_09_27.pdf" TargetMode="External"/><Relationship Id="rId144" Type="http://schemas.openxmlformats.org/officeDocument/2006/relationships/hyperlink" Target="https://www.scope3transparent.de/unternehmen/" TargetMode="External"/><Relationship Id="rId90" Type="http://schemas.openxmlformats.org/officeDocument/2006/relationships/hyperlink" Target="https://www.probas.umweltbundesamt.de/php/prozessdetails.php?id=%7b0A54E43A-373D-43DB-973B-7915BAFA8207%7d" TargetMode="External"/><Relationship Id="rId165" Type="http://schemas.openxmlformats.org/officeDocument/2006/relationships/hyperlink" Target="https://www.scope3transparent.de/unternehmen/" TargetMode="External"/><Relationship Id="rId186" Type="http://schemas.openxmlformats.org/officeDocument/2006/relationships/hyperlink" Target="https://www.scope3transparent.de/unternehmen/" TargetMode="External"/><Relationship Id="rId211" Type="http://schemas.openxmlformats.org/officeDocument/2006/relationships/hyperlink" Target="https://www.scope3transparent.de/unternehmen/" TargetMode="External"/><Relationship Id="rId232" Type="http://schemas.openxmlformats.org/officeDocument/2006/relationships/hyperlink" Target="https://www.scope3transparent.de/unternehmen/" TargetMode="External"/><Relationship Id="rId253" Type="http://schemas.openxmlformats.org/officeDocument/2006/relationships/hyperlink" Target="https://www.scope3transparent.de/unternehmen/" TargetMode="External"/><Relationship Id="rId274" Type="http://schemas.openxmlformats.org/officeDocument/2006/relationships/hyperlink" Target="https://www.scope3transparent.de/unternehmen/" TargetMode="External"/><Relationship Id="rId27" Type="http://schemas.openxmlformats.org/officeDocument/2006/relationships/hyperlink" Target="https://www.klimatarier.com/de/CO2_Rechner" TargetMode="External"/><Relationship Id="rId48" Type="http://schemas.openxmlformats.org/officeDocument/2006/relationships/hyperlink" Target="https://www.klimatarier.com/at/CO2_Rechner" TargetMode="External"/><Relationship Id="rId69" Type="http://schemas.openxmlformats.org/officeDocument/2006/relationships/hyperlink" Target="https://www.klimatarier.com/at/CO2_Rechner" TargetMode="External"/><Relationship Id="rId113" Type="http://schemas.openxmlformats.org/officeDocument/2006/relationships/hyperlink" Target="https://www.umweltbundesamt.de/sites/default/files/medien/377/publikationen/endbericht_oko-apc_2016_09_27.pdf" TargetMode="External"/><Relationship Id="rId134" Type="http://schemas.openxmlformats.org/officeDocument/2006/relationships/hyperlink" Target="https://www.scope3transparent.de/unternehmen/" TargetMode="External"/><Relationship Id="rId80" Type="http://schemas.openxmlformats.org/officeDocument/2006/relationships/hyperlink" Target="https://www.klimatarier.com/de/CO2_Rechner" TargetMode="External"/><Relationship Id="rId155" Type="http://schemas.openxmlformats.org/officeDocument/2006/relationships/hyperlink" Target="https://www.scope3transparent.de/unternehmen/" TargetMode="External"/><Relationship Id="rId176" Type="http://schemas.openxmlformats.org/officeDocument/2006/relationships/hyperlink" Target="https://www.scope3transparent.de/unternehmen/" TargetMode="External"/><Relationship Id="rId197" Type="http://schemas.openxmlformats.org/officeDocument/2006/relationships/hyperlink" Target="https://www.scope3transparent.de/unternehmen/" TargetMode="External"/><Relationship Id="rId201" Type="http://schemas.openxmlformats.org/officeDocument/2006/relationships/hyperlink" Target="https://www.scope3transparent.de/unternehmen/" TargetMode="External"/><Relationship Id="rId222" Type="http://schemas.openxmlformats.org/officeDocument/2006/relationships/hyperlink" Target="https://www.scope3transparent.de/unternehmen/" TargetMode="External"/><Relationship Id="rId243" Type="http://schemas.openxmlformats.org/officeDocument/2006/relationships/hyperlink" Target="https://www.scope3transparent.de/unternehmen/" TargetMode="External"/><Relationship Id="rId264" Type="http://schemas.openxmlformats.org/officeDocument/2006/relationships/hyperlink" Target="https://www.scope3transparent.de/unternehmen/" TargetMode="External"/><Relationship Id="rId285" Type="http://schemas.openxmlformats.org/officeDocument/2006/relationships/hyperlink" Target="https://www.scope3transparent.de/unternehmen/" TargetMode="External"/><Relationship Id="rId17" Type="http://schemas.openxmlformats.org/officeDocument/2006/relationships/hyperlink" Target="https://www.klimatarier.com/de/CO2_Rechner" TargetMode="External"/><Relationship Id="rId38" Type="http://schemas.openxmlformats.org/officeDocument/2006/relationships/hyperlink" Target="https://www.klimatarier.com/de/CO2_Rechner" TargetMode="External"/><Relationship Id="rId59" Type="http://schemas.openxmlformats.org/officeDocument/2006/relationships/hyperlink" Target="https://www.klimatarier.com/de/CO2_Rechner" TargetMode="External"/><Relationship Id="rId103" Type="http://schemas.openxmlformats.org/officeDocument/2006/relationships/hyperlink" Target="https://www.probas.umweltbundesamt.de/php/prozessdetails.php?id=%7b109B44FC-3E16-4528-82FF-641E040D47DB%7d" TargetMode="External"/><Relationship Id="rId124" Type="http://schemas.openxmlformats.org/officeDocument/2006/relationships/hyperlink" Target="https://www.umweltbundesamt.de/sites/default/files/medien/377/publikationen/endbericht_oko-apc_2016_09_27.pdf" TargetMode="External"/><Relationship Id="rId70" Type="http://schemas.openxmlformats.org/officeDocument/2006/relationships/hyperlink" Target="https://www.klimatarier.com/at/CO2_Rechner" TargetMode="External"/><Relationship Id="rId91" Type="http://schemas.openxmlformats.org/officeDocument/2006/relationships/hyperlink" Target="https://www.probas.umweltbundesamt.de/php/prozessdetails.php?id=%7bD9B2F188-A457-45C1-A863-65BA7800981D%7d" TargetMode="External"/><Relationship Id="rId145" Type="http://schemas.openxmlformats.org/officeDocument/2006/relationships/hyperlink" Target="https://www.scope3transparent.de/unternehmen/" TargetMode="External"/><Relationship Id="rId166" Type="http://schemas.openxmlformats.org/officeDocument/2006/relationships/hyperlink" Target="https://www.scope3transparent.de/unternehmen/" TargetMode="External"/><Relationship Id="rId187" Type="http://schemas.openxmlformats.org/officeDocument/2006/relationships/hyperlink" Target="https://www.scope3transparent.de/unternehmen/" TargetMode="External"/><Relationship Id="rId1" Type="http://schemas.openxmlformats.org/officeDocument/2006/relationships/hyperlink" Target="https://www.winnipeg.ca/finance/findata/matmgt/documents/2012/682-2012/682-2012_Appendix_H-WSTP_South_End_Plant_Process_Selection_Report/Appendix%207.pdf" TargetMode="External"/><Relationship Id="rId212" Type="http://schemas.openxmlformats.org/officeDocument/2006/relationships/hyperlink" Target="https://www.scope3transparent.de/unternehmen/" TargetMode="External"/><Relationship Id="rId233" Type="http://schemas.openxmlformats.org/officeDocument/2006/relationships/hyperlink" Target="https://www.scope3transparent.de/unternehmen/" TargetMode="External"/><Relationship Id="rId254" Type="http://schemas.openxmlformats.org/officeDocument/2006/relationships/hyperlink" Target="https://www.scope3transparent.de/unternehmen/" TargetMode="External"/><Relationship Id="rId28" Type="http://schemas.openxmlformats.org/officeDocument/2006/relationships/hyperlink" Target="https://www.klimatarier.com/de/CO2_Rechner" TargetMode="External"/><Relationship Id="rId49" Type="http://schemas.openxmlformats.org/officeDocument/2006/relationships/hyperlink" Target="https://www.klimatarier.com/at/CO2_Rechner" TargetMode="External"/><Relationship Id="rId114" Type="http://schemas.openxmlformats.org/officeDocument/2006/relationships/hyperlink" Target="https://www.umweltbundesamt.de/sites/default/files/medien/377/publikationen/endbericht_oko-apc_2016_09_27.pdf" TargetMode="External"/><Relationship Id="rId275" Type="http://schemas.openxmlformats.org/officeDocument/2006/relationships/hyperlink" Target="https://www.scope3transparent.de/unternehmen/" TargetMode="External"/><Relationship Id="rId60" Type="http://schemas.openxmlformats.org/officeDocument/2006/relationships/hyperlink" Target="https://www.klimatarier.com/de/CO2_Rechner" TargetMode="External"/><Relationship Id="rId81" Type="http://schemas.openxmlformats.org/officeDocument/2006/relationships/hyperlink" Target="https://www.klimatarier.com/de/CO2_Rechner" TargetMode="External"/><Relationship Id="rId135" Type="http://schemas.openxmlformats.org/officeDocument/2006/relationships/hyperlink" Target="https://www.scope3transparent.de/unternehmen/" TargetMode="External"/><Relationship Id="rId156" Type="http://schemas.openxmlformats.org/officeDocument/2006/relationships/hyperlink" Target="https://www.scope3transparent.de/unternehmen/" TargetMode="External"/><Relationship Id="rId177" Type="http://schemas.openxmlformats.org/officeDocument/2006/relationships/hyperlink" Target="https://www.scope3transparent.de/unternehmen/" TargetMode="External"/><Relationship Id="rId198" Type="http://schemas.openxmlformats.org/officeDocument/2006/relationships/hyperlink" Target="https://www.scope3transparent.de/unternehmen/" TargetMode="External"/><Relationship Id="rId202" Type="http://schemas.openxmlformats.org/officeDocument/2006/relationships/hyperlink" Target="https://www.scope3transparent.de/unternehmen/" TargetMode="External"/><Relationship Id="rId223" Type="http://schemas.openxmlformats.org/officeDocument/2006/relationships/hyperlink" Target="https://www.scope3transparent.de/unternehmen/" TargetMode="External"/><Relationship Id="rId244" Type="http://schemas.openxmlformats.org/officeDocument/2006/relationships/hyperlink" Target="https://www.scope3transparent.de/unternehmen/" TargetMode="External"/><Relationship Id="rId18" Type="http://schemas.openxmlformats.org/officeDocument/2006/relationships/hyperlink" Target="https://www.klimatarier.com/de/CO2_Rechner" TargetMode="External"/><Relationship Id="rId39" Type="http://schemas.openxmlformats.org/officeDocument/2006/relationships/hyperlink" Target="https://www.klimatarier.com/de/CO2_Rechner" TargetMode="External"/><Relationship Id="rId265" Type="http://schemas.openxmlformats.org/officeDocument/2006/relationships/hyperlink" Target="https://www.scope3transparent.de/unternehmen/" TargetMode="External"/><Relationship Id="rId286" Type="http://schemas.openxmlformats.org/officeDocument/2006/relationships/hyperlink" Target="https://www.scope3transparent.de/unternehmen/" TargetMode="External"/><Relationship Id="rId50" Type="http://schemas.openxmlformats.org/officeDocument/2006/relationships/hyperlink" Target="https://www.klimatarier.com/at/CO2_Rechner" TargetMode="External"/><Relationship Id="rId104" Type="http://schemas.openxmlformats.org/officeDocument/2006/relationships/hyperlink" Target="https://www.probas.umweltbundesamt.de/php/prozessdetails.php?id=%7bEDEF8A1D-535D-46AE-BEC5-2C900DC09C2C%7d" TargetMode="External"/><Relationship Id="rId125" Type="http://schemas.openxmlformats.org/officeDocument/2006/relationships/hyperlink" Target="https://www.umweltbundesamt.de/sites/default/files/medien/377/publikationen/endbericht_oko-apc_2016_09_27.pdf" TargetMode="External"/><Relationship Id="rId146" Type="http://schemas.openxmlformats.org/officeDocument/2006/relationships/hyperlink" Target="https://www.scope3transparent.de/unternehmen/" TargetMode="External"/><Relationship Id="rId167" Type="http://schemas.openxmlformats.org/officeDocument/2006/relationships/hyperlink" Target="https://www.scope3transparent.de/unternehmen/" TargetMode="External"/><Relationship Id="rId188" Type="http://schemas.openxmlformats.org/officeDocument/2006/relationships/hyperlink" Target="https://www.scope3transparent.de/unternehmen/" TargetMode="External"/><Relationship Id="rId71" Type="http://schemas.openxmlformats.org/officeDocument/2006/relationships/hyperlink" Target="https://www.klimatarier.com/at/CO2_Rechner" TargetMode="External"/><Relationship Id="rId92" Type="http://schemas.openxmlformats.org/officeDocument/2006/relationships/hyperlink" Target="https://www.probas.umweltbundesamt.de/php/prozessdetails.php?id=%7b65C51F09-9F88-4D3C-8858-CFBCACF98D53%7d" TargetMode="External"/><Relationship Id="rId213" Type="http://schemas.openxmlformats.org/officeDocument/2006/relationships/hyperlink" Target="https://www.scope3transparent.de/unternehmen/" TargetMode="External"/><Relationship Id="rId234" Type="http://schemas.openxmlformats.org/officeDocument/2006/relationships/hyperlink" Target="https://www.scope3transparent.de/unternehmen/" TargetMode="External"/><Relationship Id="rId2" Type="http://schemas.openxmlformats.org/officeDocument/2006/relationships/hyperlink" Target="https://www.ursa.de/de-de/produkte/Documents/ZT-xps-epd.pdf" TargetMode="External"/><Relationship Id="rId29" Type="http://schemas.openxmlformats.org/officeDocument/2006/relationships/hyperlink" Target="https://www.klimatarier.com/de/CO2_Rechner" TargetMode="External"/><Relationship Id="rId255" Type="http://schemas.openxmlformats.org/officeDocument/2006/relationships/hyperlink" Target="https://www.scope3transparent.de/unternehmen/" TargetMode="External"/><Relationship Id="rId276" Type="http://schemas.openxmlformats.org/officeDocument/2006/relationships/hyperlink" Target="https://www.scope3transparent.de/unternehmen/" TargetMode="External"/><Relationship Id="rId40" Type="http://schemas.openxmlformats.org/officeDocument/2006/relationships/hyperlink" Target="https://www.klimatarier.com/de/CO2_Rechner" TargetMode="External"/><Relationship Id="rId115" Type="http://schemas.openxmlformats.org/officeDocument/2006/relationships/hyperlink" Target="https://www.umweltbundesamt.de/sites/default/files/medien/377/publikationen/endbericht_oko-apc_2016_09_27.pdf" TargetMode="External"/><Relationship Id="rId136" Type="http://schemas.openxmlformats.org/officeDocument/2006/relationships/hyperlink" Target="https://www.scope3transparent.de/unternehmen/" TargetMode="External"/><Relationship Id="rId157" Type="http://schemas.openxmlformats.org/officeDocument/2006/relationships/hyperlink" Target="https://www.scope3transparent.de/unternehmen/" TargetMode="External"/><Relationship Id="rId178" Type="http://schemas.openxmlformats.org/officeDocument/2006/relationships/hyperlink" Target="https://www.scope3transparent.de/unternehmen/" TargetMode="External"/><Relationship Id="rId61" Type="http://schemas.openxmlformats.org/officeDocument/2006/relationships/hyperlink" Target="https://www.klimatarier.com/de/CO2_Rechner" TargetMode="External"/><Relationship Id="rId82" Type="http://schemas.openxmlformats.org/officeDocument/2006/relationships/hyperlink" Target="https://www.klimatarier.com/de/CO2_Rechner" TargetMode="External"/><Relationship Id="rId199" Type="http://schemas.openxmlformats.org/officeDocument/2006/relationships/hyperlink" Target="https://www.scope3transparent.de/unternehmen/" TargetMode="External"/><Relationship Id="rId203" Type="http://schemas.openxmlformats.org/officeDocument/2006/relationships/hyperlink" Target="https://www.scope3transparent.de/unternehmen/" TargetMode="External"/><Relationship Id="rId19" Type="http://schemas.openxmlformats.org/officeDocument/2006/relationships/hyperlink" Target="https://www.klimatarier.com/de/CO2_Rechner" TargetMode="External"/><Relationship Id="rId224" Type="http://schemas.openxmlformats.org/officeDocument/2006/relationships/hyperlink" Target="https://www.scope3transparent.de/unternehmen/" TargetMode="External"/><Relationship Id="rId245" Type="http://schemas.openxmlformats.org/officeDocument/2006/relationships/hyperlink" Target="https://www.scope3transparent.de/unternehmen/" TargetMode="External"/><Relationship Id="rId266" Type="http://schemas.openxmlformats.org/officeDocument/2006/relationships/hyperlink" Target="https://www.scope3transparent.de/unternehmen/" TargetMode="External"/><Relationship Id="rId287" Type="http://schemas.openxmlformats.org/officeDocument/2006/relationships/hyperlink" Target="https://www.scope3transparent.de/unternehmen/" TargetMode="External"/><Relationship Id="rId30" Type="http://schemas.openxmlformats.org/officeDocument/2006/relationships/hyperlink" Target="https://www.klimatarier.com/de/CO2_Rechner" TargetMode="External"/><Relationship Id="rId105" Type="http://schemas.openxmlformats.org/officeDocument/2006/relationships/hyperlink" Target="https://www.probas.umweltbundesamt.de/php/prozessdetails.php?id=%7b27CF6CA2-7DAF-44AE-899E-8FD686A8966C%7d" TargetMode="External"/><Relationship Id="rId126" Type="http://schemas.openxmlformats.org/officeDocument/2006/relationships/hyperlink" Target="https://www.probas.umweltbundesamt.de/php/prozessdetails.php?id=%7B0E0B2938-9043-11D3-B2C8-0080C8941B49%7D" TargetMode="External"/><Relationship Id="rId147" Type="http://schemas.openxmlformats.org/officeDocument/2006/relationships/hyperlink" Target="https://www.scope3transparent.de/unternehmen/" TargetMode="External"/><Relationship Id="rId168" Type="http://schemas.openxmlformats.org/officeDocument/2006/relationships/hyperlink" Target="https://www.scope3transparent.de/unternehmen/" TargetMode="External"/><Relationship Id="rId51" Type="http://schemas.openxmlformats.org/officeDocument/2006/relationships/hyperlink" Target="https://www.klimatarier.com/at/CO2_Rechner" TargetMode="External"/><Relationship Id="rId72" Type="http://schemas.openxmlformats.org/officeDocument/2006/relationships/hyperlink" Target="https://www.klimatarier.com/at/CO2_Rechner" TargetMode="External"/><Relationship Id="rId93" Type="http://schemas.openxmlformats.org/officeDocument/2006/relationships/hyperlink" Target="https://www.probas.umweltbundesamt.de/php/prozessdetails.php?id=%7bC9EB2BC2-D28C-488C-A118-7F5F9ACBD068%7d" TargetMode="External"/><Relationship Id="rId189" Type="http://schemas.openxmlformats.org/officeDocument/2006/relationships/hyperlink" Target="https://www.scope3transparent.de/unternehmen/" TargetMode="External"/><Relationship Id="rId3" Type="http://schemas.openxmlformats.org/officeDocument/2006/relationships/hyperlink" Target="https://oe1.orf.at/artikel/274414/Der-oekologische-Fussabdruck-von-Bier" TargetMode="External"/><Relationship Id="rId214" Type="http://schemas.openxmlformats.org/officeDocument/2006/relationships/hyperlink" Target="https://www.scope3transparent.de/unternehmen/" TargetMode="External"/><Relationship Id="rId235" Type="http://schemas.openxmlformats.org/officeDocument/2006/relationships/hyperlink" Target="https://www.scope3transparent.de/unternehmen/" TargetMode="External"/><Relationship Id="rId256" Type="http://schemas.openxmlformats.org/officeDocument/2006/relationships/hyperlink" Target="https://www.scope3transparent.de/unternehmen/" TargetMode="External"/><Relationship Id="rId277" Type="http://schemas.openxmlformats.org/officeDocument/2006/relationships/hyperlink" Target="https://www.scope3transparent.de/unternehmen/" TargetMode="External"/><Relationship Id="rId116" Type="http://schemas.openxmlformats.org/officeDocument/2006/relationships/hyperlink" Target="https://www.umweltbundesamt.de/sites/default/files/medien/377/publikationen/endbericht_oko-apc_2016_09_27.pdf" TargetMode="External"/><Relationship Id="rId137" Type="http://schemas.openxmlformats.org/officeDocument/2006/relationships/hyperlink" Target="https://www.scope3transparent.de/unternehmen/" TargetMode="External"/><Relationship Id="rId158" Type="http://schemas.openxmlformats.org/officeDocument/2006/relationships/hyperlink" Target="https://www.scope3transparent.de/unternehmen/" TargetMode="External"/><Relationship Id="rId20" Type="http://schemas.openxmlformats.org/officeDocument/2006/relationships/hyperlink" Target="https://www.klimatarier.com/de/CO2_Rechner" TargetMode="External"/><Relationship Id="rId41" Type="http://schemas.openxmlformats.org/officeDocument/2006/relationships/hyperlink" Target="https://www.klimatarier.com/de/CO2_Rechner" TargetMode="External"/><Relationship Id="rId62" Type="http://schemas.openxmlformats.org/officeDocument/2006/relationships/hyperlink" Target="https://www.klimatarier.com/at/CO2_Rechner" TargetMode="External"/><Relationship Id="rId83" Type="http://schemas.openxmlformats.org/officeDocument/2006/relationships/hyperlink" Target="https://www.klimatarier.com/de/CO2_Rechner" TargetMode="External"/><Relationship Id="rId179" Type="http://schemas.openxmlformats.org/officeDocument/2006/relationships/hyperlink" Target="https://www.scope3transparent.de/unternehmen/" TargetMode="External"/><Relationship Id="rId190" Type="http://schemas.openxmlformats.org/officeDocument/2006/relationships/hyperlink" Target="https://www.scope3transparent.de/unternehmen/" TargetMode="External"/><Relationship Id="rId204" Type="http://schemas.openxmlformats.org/officeDocument/2006/relationships/hyperlink" Target="https://www.scope3transparent.de/unternehmen/" TargetMode="External"/><Relationship Id="rId225" Type="http://schemas.openxmlformats.org/officeDocument/2006/relationships/hyperlink" Target="https://www.scope3transparent.de/unternehmen/" TargetMode="External"/><Relationship Id="rId246" Type="http://schemas.openxmlformats.org/officeDocument/2006/relationships/hyperlink" Target="https://www.scope3transparent.de/unternehmen/" TargetMode="External"/><Relationship Id="rId267" Type="http://schemas.openxmlformats.org/officeDocument/2006/relationships/hyperlink" Target="https://www.scope3transparent.de/unternehmen/" TargetMode="External"/><Relationship Id="rId288" Type="http://schemas.openxmlformats.org/officeDocument/2006/relationships/hyperlink" Target="https://www.scope3transparent.de/unternehmen/" TargetMode="External"/><Relationship Id="rId106" Type="http://schemas.openxmlformats.org/officeDocument/2006/relationships/hyperlink" Target="https://www.probas.umweltbundesamt.de/php/prozessdetails.php?id=%7bA8276F10-4E60-45C4-A7BA-5803FDD637C7%7d" TargetMode="External"/><Relationship Id="rId127" Type="http://schemas.openxmlformats.org/officeDocument/2006/relationships/hyperlink" Target="https://www.scope3transparent.de/unternehmen/" TargetMode="External"/><Relationship Id="rId10" Type="http://schemas.openxmlformats.org/officeDocument/2006/relationships/hyperlink" Target="https://www.klimatarier.com/de/CO2_Rechner" TargetMode="External"/><Relationship Id="rId31" Type="http://schemas.openxmlformats.org/officeDocument/2006/relationships/hyperlink" Target="https://www.klimatarier.com/de/CO2_Rechner" TargetMode="External"/><Relationship Id="rId52" Type="http://schemas.openxmlformats.org/officeDocument/2006/relationships/hyperlink" Target="https://eatsmarter.de/lexikon/warenkunde/gewuerze/knoblauch" TargetMode="External"/><Relationship Id="rId73" Type="http://schemas.openxmlformats.org/officeDocument/2006/relationships/hyperlink" Target="https://www.klimatarier.com/at/CO2_Rechner" TargetMode="External"/><Relationship Id="rId94" Type="http://schemas.openxmlformats.org/officeDocument/2006/relationships/hyperlink" Target="https://www.probas.umweltbundesamt.de/php/prozessdetails.php?id=%7b3E42D2A7-41F4-46D6-B82F-3D87E9DDAA89%7d" TargetMode="External"/><Relationship Id="rId148" Type="http://schemas.openxmlformats.org/officeDocument/2006/relationships/hyperlink" Target="https://www.scope3transparent.de/unternehmen/" TargetMode="External"/><Relationship Id="rId169" Type="http://schemas.openxmlformats.org/officeDocument/2006/relationships/hyperlink" Target="https://www.scope3transparent.de/unternehmen/" TargetMode="External"/><Relationship Id="rId4" Type="http://schemas.openxmlformats.org/officeDocument/2006/relationships/hyperlink" Target="https://www.lwg.bayern.de/weinbau/087354/index.php" TargetMode="External"/><Relationship Id="rId180" Type="http://schemas.openxmlformats.org/officeDocument/2006/relationships/hyperlink" Target="https://www.scope3transparent.de/unternehmen/" TargetMode="External"/><Relationship Id="rId215" Type="http://schemas.openxmlformats.org/officeDocument/2006/relationships/hyperlink" Target="https://www.scope3transparent.de/unternehmen/" TargetMode="External"/><Relationship Id="rId236" Type="http://schemas.openxmlformats.org/officeDocument/2006/relationships/hyperlink" Target="https://www.scope3transparent.de/unternehmen/" TargetMode="External"/><Relationship Id="rId257" Type="http://schemas.openxmlformats.org/officeDocument/2006/relationships/hyperlink" Target="https://www.scope3transparent.de/unternehmen/" TargetMode="External"/><Relationship Id="rId278" Type="http://schemas.openxmlformats.org/officeDocument/2006/relationships/hyperlink" Target="https://www.scope3transparent.de/unternehmen/" TargetMode="External"/><Relationship Id="rId42" Type="http://schemas.openxmlformats.org/officeDocument/2006/relationships/hyperlink" Target="https://www.probas.umweltbundesamt.de/php/prozessdetails.php?id=%7bD67F9971-D39A-4EAB-B872-A593687A3DB1%7d" TargetMode="External"/><Relationship Id="rId84" Type="http://schemas.openxmlformats.org/officeDocument/2006/relationships/hyperlink" Target="https://www.klimatarier.com/de/CO2_Rechner" TargetMode="External"/><Relationship Id="rId138" Type="http://schemas.openxmlformats.org/officeDocument/2006/relationships/hyperlink" Target="https://www.scope3transparent.de/unternehmen/" TargetMode="External"/><Relationship Id="rId191" Type="http://schemas.openxmlformats.org/officeDocument/2006/relationships/hyperlink" Target="https://www.scope3transparent.de/unternehmen/" TargetMode="External"/><Relationship Id="rId205" Type="http://schemas.openxmlformats.org/officeDocument/2006/relationships/hyperlink" Target="https://www.scope3transparent.de/unternehmen/" TargetMode="External"/><Relationship Id="rId247" Type="http://schemas.openxmlformats.org/officeDocument/2006/relationships/hyperlink" Target="https://www.scope3transparent.de/unternehmen/" TargetMode="External"/><Relationship Id="rId107" Type="http://schemas.openxmlformats.org/officeDocument/2006/relationships/hyperlink" Target="https://www.probas.umweltbundesamt.de/php/prozessdetails.php?id=%7b2E9ADEB4-20B2-4E89-A0CF-728D62C82E93%7d" TargetMode="External"/><Relationship Id="rId289" Type="http://schemas.openxmlformats.org/officeDocument/2006/relationships/hyperlink" Target="https://www.scope3transparent.de/unternehmen/" TargetMode="External"/><Relationship Id="rId11" Type="http://schemas.openxmlformats.org/officeDocument/2006/relationships/hyperlink" Target="https://www.klimatarier.com/de/CO2_Rechner" TargetMode="External"/><Relationship Id="rId53" Type="http://schemas.openxmlformats.org/officeDocument/2006/relationships/hyperlink" Target="https://eatsmarter.de/lexikon/warenkunde/gemuese/meerrettich" TargetMode="External"/><Relationship Id="rId149" Type="http://schemas.openxmlformats.org/officeDocument/2006/relationships/hyperlink" Target="https://www.scope3transparent.de/unternehmen/" TargetMode="External"/><Relationship Id="rId95" Type="http://schemas.openxmlformats.org/officeDocument/2006/relationships/hyperlink" Target="https://www.probas.umweltbundesamt.de/php/prozessdetails.php?id=%7b4307FE50-7117-49E3-9D6F-E82A6F594516%7d" TargetMode="External"/><Relationship Id="rId160" Type="http://schemas.openxmlformats.org/officeDocument/2006/relationships/hyperlink" Target="https://www.scope3transparent.de/unternehmen/" TargetMode="External"/><Relationship Id="rId216" Type="http://schemas.openxmlformats.org/officeDocument/2006/relationships/hyperlink" Target="https://www.scope3transparent.de/unternehmen/" TargetMode="External"/><Relationship Id="rId258" Type="http://schemas.openxmlformats.org/officeDocument/2006/relationships/hyperlink" Target="https://www.scope3transparent.de/unternehmen/" TargetMode="External"/><Relationship Id="rId22" Type="http://schemas.openxmlformats.org/officeDocument/2006/relationships/hyperlink" Target="https://www.klimatarier.com/de/CO2_Rechner" TargetMode="External"/><Relationship Id="rId64" Type="http://schemas.openxmlformats.org/officeDocument/2006/relationships/hyperlink" Target="https://www.klimatarier.com/at/CO2_Rechner" TargetMode="External"/><Relationship Id="rId118" Type="http://schemas.openxmlformats.org/officeDocument/2006/relationships/hyperlink" Target="https://www.umweltbundesamt.de/sites/default/files/medien/377/publikationen/endbericht_oko-apc_2016_09_27.pdf" TargetMode="External"/><Relationship Id="rId171" Type="http://schemas.openxmlformats.org/officeDocument/2006/relationships/hyperlink" Target="https://www.scope3transparent.de/unternehmen/" TargetMode="External"/><Relationship Id="rId227" Type="http://schemas.openxmlformats.org/officeDocument/2006/relationships/hyperlink" Target="https://www.scope3transparent.de/unternehmen/" TargetMode="External"/><Relationship Id="rId269" Type="http://schemas.openxmlformats.org/officeDocument/2006/relationships/hyperlink" Target="https://www.scope3transparent.de/unternehmen/" TargetMode="External"/></Relationships>
</file>

<file path=xl/worksheets/_rels/sheet19.xml.rels><?xml version="1.0" encoding="UTF-8" standalone="yes"?>
<Relationships xmlns="http://schemas.openxmlformats.org/package/2006/relationships"><Relationship Id="rId8" Type="http://schemas.openxmlformats.org/officeDocument/2006/relationships/table" Target="../tables/table3.xml"/><Relationship Id="rId3" Type="http://schemas.openxmlformats.org/officeDocument/2006/relationships/hyperlink" Target="https://www.chip.de/artikel/Schneefraesen-Test-Die-preiswertesten-Schneefraesen-im-Markt-Check_179404143.html" TargetMode="External"/><Relationship Id="rId7" Type="http://schemas.openxmlformats.org/officeDocument/2006/relationships/table" Target="../tables/table2.xml"/><Relationship Id="rId12" Type="http://schemas.openxmlformats.org/officeDocument/2006/relationships/comments" Target="../comments15.xml"/><Relationship Id="rId2" Type="http://schemas.openxmlformats.org/officeDocument/2006/relationships/hyperlink" Target="https://www.spritmonitor.de/de/detailansicht/688571.html" TargetMode="External"/><Relationship Id="rId1" Type="http://schemas.openxmlformats.org/officeDocument/2006/relationships/hyperlink" Target="https://www.spritmonitor.de/de/detailansicht/688571.html" TargetMode="External"/><Relationship Id="rId6" Type="http://schemas.openxmlformats.org/officeDocument/2006/relationships/vmlDrawing" Target="../drawings/vmlDrawing15.vml"/><Relationship Id="rId11" Type="http://schemas.openxmlformats.org/officeDocument/2006/relationships/table" Target="../tables/table6.xml"/><Relationship Id="rId5" Type="http://schemas.openxmlformats.org/officeDocument/2006/relationships/drawing" Target="../drawings/drawing17.xml"/><Relationship Id="rId10" Type="http://schemas.openxmlformats.org/officeDocument/2006/relationships/table" Target="../tables/table5.xml"/><Relationship Id="rId4" Type="http://schemas.openxmlformats.org/officeDocument/2006/relationships/printerSettings" Target="../printerSettings/printerSettings19.bin"/><Relationship Id="rId9" Type="http://schemas.openxmlformats.org/officeDocument/2006/relationships/table" Target="../tables/table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8.xml"/><Relationship Id="rId1" Type="http://schemas.openxmlformats.org/officeDocument/2006/relationships/printerSettings" Target="../printerSettings/printerSettings20.bin"/><Relationship Id="rId5" Type="http://schemas.openxmlformats.org/officeDocument/2006/relationships/comments" Target="../comments16.xml"/><Relationship Id="rId4" Type="http://schemas.openxmlformats.org/officeDocument/2006/relationships/table" Target="../tables/table7.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F5B50-A33F-43F5-B910-18EE8E9EB61E}">
  <sheetPr>
    <pageSetUpPr fitToPage="1"/>
  </sheetPr>
  <dimension ref="A1:AX1186"/>
  <sheetViews>
    <sheetView showGridLines="0" zoomScaleNormal="100" workbookViewId="0"/>
  </sheetViews>
  <sheetFormatPr baseColWidth="10" defaultColWidth="10.58203125" defaultRowHeight="14.5"/>
  <cols>
    <col min="1" max="1" width="2.58203125" style="323" customWidth="1"/>
    <col min="2" max="2" width="35.58203125" style="323" customWidth="1"/>
    <col min="3" max="3" width="2.33203125" style="323" customWidth="1"/>
    <col min="4" max="4" width="36.75" style="323" customWidth="1"/>
    <col min="5" max="5" width="2.83203125" style="323" customWidth="1"/>
    <col min="6" max="6" width="45.83203125" style="323" customWidth="1"/>
    <col min="7" max="7" width="10.58203125" style="323"/>
    <col min="8" max="50" width="10.58203125" style="315"/>
    <col min="51" max="16384" width="10.58203125" style="323"/>
  </cols>
  <sheetData>
    <row r="1" spans="1:7" ht="38.5">
      <c r="A1" s="354"/>
      <c r="B1" s="336" t="s">
        <v>0</v>
      </c>
      <c r="C1" s="355"/>
      <c r="D1" s="355"/>
      <c r="E1" s="355"/>
      <c r="F1" s="355"/>
      <c r="G1" s="356"/>
    </row>
    <row r="2" spans="1:7" ht="39" customHeight="1">
      <c r="A2" s="357"/>
      <c r="B2" s="358"/>
      <c r="C2" s="358"/>
      <c r="D2" s="358"/>
      <c r="E2" s="358"/>
      <c r="F2" s="358"/>
      <c r="G2" s="359"/>
    </row>
    <row r="3" spans="1:7">
      <c r="A3" s="357"/>
      <c r="B3" s="328" t="s">
        <v>1</v>
      </c>
      <c r="C3" s="358"/>
      <c r="D3" s="343" t="s">
        <v>2</v>
      </c>
      <c r="E3" s="358"/>
      <c r="F3" s="328" t="s">
        <v>1</v>
      </c>
      <c r="G3" s="359"/>
    </row>
    <row r="4" spans="1:7" ht="5.15" customHeight="1">
      <c r="A4" s="357"/>
      <c r="B4" s="358"/>
      <c r="C4" s="358"/>
      <c r="D4" s="358"/>
      <c r="E4" s="358"/>
      <c r="F4" s="358"/>
      <c r="G4" s="359"/>
    </row>
    <row r="5" spans="1:7">
      <c r="A5" s="357"/>
      <c r="B5" s="337" t="s">
        <v>3</v>
      </c>
      <c r="C5" s="358"/>
      <c r="D5" s="338" t="s">
        <v>4</v>
      </c>
      <c r="E5" s="358"/>
      <c r="F5" s="342" t="s">
        <v>5</v>
      </c>
      <c r="G5" s="359"/>
    </row>
    <row r="6" spans="1:7">
      <c r="A6" s="357"/>
      <c r="B6" s="982" t="s">
        <v>6</v>
      </c>
      <c r="C6" s="358"/>
      <c r="D6" s="984" t="s">
        <v>7</v>
      </c>
      <c r="E6" s="358"/>
      <c r="F6" s="993" t="s">
        <v>8</v>
      </c>
      <c r="G6" s="359"/>
    </row>
    <row r="7" spans="1:7">
      <c r="A7" s="357"/>
      <c r="B7" s="983" t="s">
        <v>9</v>
      </c>
      <c r="C7" s="358"/>
      <c r="D7" s="985" t="s">
        <v>1814</v>
      </c>
      <c r="E7" s="358"/>
      <c r="F7" s="993" t="s">
        <v>10</v>
      </c>
      <c r="G7" s="359"/>
    </row>
    <row r="8" spans="1:7">
      <c r="A8" s="357"/>
      <c r="B8" s="358"/>
      <c r="C8" s="358"/>
      <c r="D8" s="358"/>
      <c r="E8" s="358"/>
      <c r="F8" s="994" t="s">
        <v>11</v>
      </c>
      <c r="G8" s="359"/>
    </row>
    <row r="9" spans="1:7">
      <c r="A9" s="357"/>
      <c r="B9" s="358"/>
      <c r="C9" s="358"/>
      <c r="D9" s="339" t="s">
        <v>12</v>
      </c>
      <c r="E9" s="358"/>
      <c r="F9" s="360"/>
      <c r="G9" s="359"/>
    </row>
    <row r="10" spans="1:7">
      <c r="A10" s="357"/>
      <c r="B10" s="358"/>
      <c r="C10" s="358"/>
      <c r="D10" s="986" t="s">
        <v>13</v>
      </c>
      <c r="E10" s="358"/>
      <c r="F10" s="344" t="s">
        <v>14</v>
      </c>
      <c r="G10" s="359"/>
    </row>
    <row r="11" spans="1:7">
      <c r="A11" s="357"/>
      <c r="B11" s="358"/>
      <c r="C11" s="358"/>
      <c r="D11" s="986" t="s">
        <v>15</v>
      </c>
      <c r="E11" s="358"/>
      <c r="F11" s="995" t="s">
        <v>1815</v>
      </c>
      <c r="G11" s="359"/>
    </row>
    <row r="12" spans="1:7">
      <c r="A12" s="357"/>
      <c r="B12" s="358"/>
      <c r="C12" s="358"/>
      <c r="D12" s="986" t="s">
        <v>16</v>
      </c>
      <c r="E12" s="358"/>
      <c r="F12" s="995" t="s">
        <v>1816</v>
      </c>
      <c r="G12" s="359"/>
    </row>
    <row r="13" spans="1:7">
      <c r="A13" s="357"/>
      <c r="B13" s="358"/>
      <c r="C13" s="358"/>
      <c r="D13" s="987" t="s">
        <v>17</v>
      </c>
      <c r="E13" s="358"/>
      <c r="F13" s="995" t="s">
        <v>1817</v>
      </c>
      <c r="G13" s="359"/>
    </row>
    <row r="14" spans="1:7">
      <c r="A14" s="357"/>
      <c r="B14" s="358"/>
      <c r="C14" s="358"/>
      <c r="D14" s="360"/>
      <c r="E14" s="358"/>
      <c r="F14" s="345" t="s">
        <v>18</v>
      </c>
      <c r="G14" s="359"/>
    </row>
    <row r="15" spans="1:7">
      <c r="A15" s="357"/>
      <c r="B15" s="358"/>
      <c r="C15" s="358"/>
      <c r="D15" s="340" t="s">
        <v>19</v>
      </c>
      <c r="E15" s="358"/>
      <c r="F15" s="361"/>
      <c r="G15" s="359"/>
    </row>
    <row r="16" spans="1:7">
      <c r="A16" s="357"/>
      <c r="B16" s="358"/>
      <c r="C16" s="358"/>
      <c r="D16" s="989" t="s">
        <v>20</v>
      </c>
      <c r="E16" s="358"/>
      <c r="F16" s="988" t="s">
        <v>21</v>
      </c>
      <c r="G16" s="359"/>
    </row>
    <row r="17" spans="1:10">
      <c r="A17" s="357"/>
      <c r="B17" s="358"/>
      <c r="C17" s="358"/>
      <c r="D17" s="990" t="s">
        <v>22</v>
      </c>
      <c r="E17" s="358"/>
      <c r="F17" s="358"/>
      <c r="G17" s="359"/>
      <c r="H17" s="358"/>
      <c r="I17" s="358"/>
      <c r="J17" s="358"/>
    </row>
    <row r="18" spans="1:10">
      <c r="A18" s="357"/>
      <c r="B18" s="358"/>
      <c r="C18" s="358"/>
      <c r="D18" s="360"/>
      <c r="E18" s="358"/>
      <c r="F18" s="358"/>
      <c r="G18" s="359"/>
      <c r="H18" s="358"/>
      <c r="I18" s="358"/>
      <c r="J18" s="358"/>
    </row>
    <row r="19" spans="1:10" ht="43.5">
      <c r="A19" s="357"/>
      <c r="B19" s="358"/>
      <c r="C19" s="358"/>
      <c r="D19" s="341" t="s">
        <v>23</v>
      </c>
      <c r="E19" s="358"/>
      <c r="F19" s="358"/>
      <c r="G19" s="359"/>
      <c r="H19" s="358"/>
      <c r="I19" s="358"/>
      <c r="J19" s="358"/>
    </row>
    <row r="20" spans="1:10">
      <c r="A20" s="357"/>
      <c r="B20" s="358"/>
      <c r="C20" s="358"/>
      <c r="D20" s="991" t="s">
        <v>1812</v>
      </c>
      <c r="E20" s="358"/>
      <c r="F20" s="358"/>
      <c r="G20" s="359"/>
      <c r="H20" s="358"/>
      <c r="I20" s="358"/>
      <c r="J20" s="358"/>
    </row>
    <row r="21" spans="1:10">
      <c r="A21" s="357"/>
      <c r="B21" s="358"/>
      <c r="C21" s="358"/>
      <c r="D21" s="992" t="s">
        <v>1813</v>
      </c>
      <c r="E21" s="358"/>
      <c r="F21" s="358"/>
      <c r="G21" s="359"/>
      <c r="H21" s="358"/>
      <c r="I21" s="358"/>
      <c r="J21" s="358"/>
    </row>
    <row r="22" spans="1:10" ht="15" thickBot="1">
      <c r="A22" s="362"/>
      <c r="B22" s="363"/>
      <c r="C22" s="363"/>
      <c r="D22" s="363"/>
      <c r="E22" s="363"/>
      <c r="F22" s="363"/>
      <c r="G22" s="364"/>
      <c r="H22" s="358"/>
      <c r="I22" s="358"/>
      <c r="J22" s="358"/>
    </row>
    <row r="23" spans="1:10" s="315" customFormat="1">
      <c r="A23" s="358"/>
      <c r="B23" s="358"/>
      <c r="C23" s="358"/>
      <c r="D23" s="358"/>
      <c r="E23" s="358"/>
      <c r="F23" s="358"/>
      <c r="G23" s="358"/>
      <c r="H23" s="358"/>
      <c r="I23" s="358"/>
      <c r="J23" s="358"/>
    </row>
    <row r="24" spans="1:10" s="315" customFormat="1">
      <c r="A24" s="358"/>
      <c r="B24" s="358"/>
      <c r="C24" s="358"/>
      <c r="D24" s="358"/>
      <c r="E24" s="358"/>
      <c r="F24" s="358"/>
      <c r="G24" s="358"/>
      <c r="H24" s="358"/>
      <c r="I24" s="358"/>
      <c r="J24" s="358"/>
    </row>
    <row r="25" spans="1:10" s="315" customFormat="1">
      <c r="A25" s="358"/>
      <c r="B25" s="358"/>
      <c r="C25" s="358"/>
      <c r="D25" s="358"/>
      <c r="E25" s="358"/>
      <c r="F25" s="358"/>
      <c r="G25" s="358"/>
      <c r="H25" s="358"/>
      <c r="I25" s="358"/>
      <c r="J25" s="358"/>
    </row>
    <row r="26" spans="1:10" s="315" customFormat="1">
      <c r="A26" s="358"/>
      <c r="B26" s="358"/>
      <c r="C26" s="358"/>
      <c r="D26" s="358"/>
      <c r="E26" s="358"/>
      <c r="F26" s="358"/>
      <c r="G26" s="358"/>
      <c r="H26" s="358"/>
      <c r="I26" s="358"/>
      <c r="J26" s="358"/>
    </row>
    <row r="27" spans="1:10" s="315" customFormat="1">
      <c r="A27" s="358"/>
      <c r="B27" s="358"/>
      <c r="C27" s="358"/>
      <c r="D27" s="358"/>
      <c r="E27" s="358"/>
      <c r="F27" s="358"/>
      <c r="G27" s="358"/>
      <c r="H27" s="358"/>
      <c r="I27" s="358"/>
      <c r="J27" s="358"/>
    </row>
    <row r="28" spans="1:10" s="315" customFormat="1">
      <c r="A28" s="358"/>
      <c r="B28" s="358"/>
      <c r="C28" s="358"/>
      <c r="D28" s="358"/>
      <c r="E28" s="358"/>
      <c r="F28" s="358"/>
      <c r="G28" s="358"/>
      <c r="H28" s="358"/>
      <c r="I28" s="358"/>
      <c r="J28" s="358"/>
    </row>
    <row r="29" spans="1:10" s="315" customFormat="1">
      <c r="A29" s="358"/>
      <c r="B29" s="358"/>
      <c r="C29" s="358"/>
      <c r="D29" s="358"/>
      <c r="E29" s="358"/>
      <c r="F29" s="358"/>
      <c r="G29" s="358"/>
      <c r="H29" s="358"/>
      <c r="I29" s="358"/>
      <c r="J29" s="358"/>
    </row>
    <row r="30" spans="1:10" s="315" customFormat="1">
      <c r="A30" s="358"/>
      <c r="B30" s="358"/>
      <c r="C30" s="358"/>
      <c r="D30" s="358"/>
      <c r="E30" s="358"/>
      <c r="F30" s="358"/>
      <c r="G30" s="358"/>
      <c r="H30" s="358"/>
      <c r="I30" s="358"/>
      <c r="J30" s="358"/>
    </row>
    <row r="31" spans="1:10" s="315" customFormat="1">
      <c r="A31" s="358"/>
      <c r="B31" s="358"/>
      <c r="C31" s="358"/>
      <c r="D31" s="358"/>
      <c r="E31" s="358"/>
      <c r="F31" s="358"/>
      <c r="G31" s="358"/>
      <c r="H31" s="358"/>
      <c r="I31" s="358"/>
      <c r="J31" s="358"/>
    </row>
    <row r="32" spans="1:10" s="315" customFormat="1">
      <c r="A32" s="358"/>
      <c r="B32" s="358"/>
      <c r="C32" s="358"/>
      <c r="D32" s="358"/>
      <c r="E32" s="358"/>
      <c r="F32" s="358"/>
      <c r="G32" s="358"/>
      <c r="H32" s="358"/>
      <c r="I32" s="358"/>
      <c r="J32" s="358"/>
    </row>
    <row r="33" s="315" customFormat="1"/>
    <row r="34" s="315" customFormat="1"/>
    <row r="35" s="315" customFormat="1"/>
    <row r="36" s="315" customFormat="1"/>
    <row r="37" s="315" customFormat="1"/>
    <row r="38" s="315" customFormat="1"/>
    <row r="39" s="315" customFormat="1"/>
    <row r="40" s="315" customFormat="1"/>
    <row r="41" s="315" customFormat="1"/>
    <row r="42" s="315" customFormat="1"/>
    <row r="43" s="315" customFormat="1"/>
    <row r="44" s="315" customFormat="1"/>
    <row r="45" s="315" customFormat="1"/>
    <row r="46" s="315" customFormat="1"/>
    <row r="47" s="315" customFormat="1"/>
    <row r="48" s="315" customFormat="1"/>
    <row r="49" s="315" customFormat="1"/>
    <row r="50" s="315" customFormat="1"/>
    <row r="51" s="315" customFormat="1"/>
    <row r="52" s="315" customFormat="1"/>
    <row r="53" s="315" customFormat="1"/>
    <row r="54" s="315" customFormat="1"/>
    <row r="55" s="315" customFormat="1"/>
    <row r="56" s="315" customFormat="1"/>
    <row r="57" s="315" customFormat="1"/>
    <row r="58" s="315" customFormat="1"/>
    <row r="59" s="315" customFormat="1"/>
    <row r="60" s="315" customFormat="1"/>
    <row r="61" s="315" customFormat="1"/>
    <row r="62" s="315" customFormat="1"/>
    <row r="63" s="315" customFormat="1"/>
    <row r="64" s="315" customFormat="1"/>
    <row r="65" s="315" customFormat="1"/>
    <row r="66" s="315" customFormat="1"/>
    <row r="67" s="315" customFormat="1"/>
    <row r="68" s="315" customFormat="1"/>
    <row r="69" s="315" customFormat="1"/>
    <row r="70" s="315" customFormat="1"/>
    <row r="71" s="315" customFormat="1"/>
    <row r="72" s="315" customFormat="1"/>
    <row r="73" s="315" customFormat="1"/>
    <row r="74" s="315" customFormat="1"/>
    <row r="75" s="315" customFormat="1"/>
    <row r="76" s="315" customFormat="1"/>
    <row r="77" s="315" customFormat="1"/>
    <row r="78" s="315" customFormat="1"/>
    <row r="79" s="315" customFormat="1"/>
    <row r="80" s="315" customFormat="1"/>
    <row r="81" s="315" customFormat="1"/>
    <row r="82" s="315" customFormat="1"/>
    <row r="83" s="315" customFormat="1"/>
    <row r="84" s="315" customFormat="1"/>
    <row r="85" s="315" customFormat="1"/>
    <row r="86" s="315" customFormat="1"/>
    <row r="87" s="315" customFormat="1"/>
    <row r="88" s="315" customFormat="1"/>
    <row r="89" s="315" customFormat="1"/>
    <row r="90" s="315" customFormat="1"/>
    <row r="91" s="315" customFormat="1"/>
    <row r="92" s="315" customFormat="1"/>
    <row r="93" s="315" customFormat="1"/>
    <row r="94" s="315" customFormat="1"/>
    <row r="95" s="315" customFormat="1"/>
    <row r="96" s="315" customFormat="1"/>
    <row r="97" s="315" customFormat="1"/>
    <row r="98" s="315" customFormat="1"/>
    <row r="99" s="315" customFormat="1"/>
    <row r="100" s="315" customFormat="1"/>
    <row r="101" s="315" customFormat="1"/>
    <row r="102" s="315" customFormat="1"/>
    <row r="103" s="315" customFormat="1"/>
    <row r="104" s="315" customFormat="1"/>
    <row r="105" s="315" customFormat="1"/>
    <row r="106" s="315" customFormat="1"/>
    <row r="107" s="315" customFormat="1"/>
    <row r="108" s="315" customFormat="1"/>
    <row r="109" s="315" customFormat="1"/>
    <row r="110" s="315" customFormat="1"/>
    <row r="111" s="315" customFormat="1"/>
    <row r="112" s="315" customFormat="1"/>
    <row r="113" s="315" customFormat="1"/>
    <row r="114" s="315" customFormat="1"/>
    <row r="115" s="315" customFormat="1"/>
    <row r="116" s="315" customFormat="1"/>
    <row r="117" s="315" customFormat="1"/>
    <row r="118" s="315" customFormat="1"/>
    <row r="119" s="315" customFormat="1"/>
    <row r="120" s="315" customFormat="1"/>
    <row r="121" s="315" customFormat="1"/>
    <row r="122" s="315" customFormat="1"/>
    <row r="123" s="315" customFormat="1"/>
    <row r="124" s="315" customFormat="1"/>
    <row r="125" s="315" customFormat="1"/>
    <row r="126" s="315" customFormat="1"/>
    <row r="127" s="315" customFormat="1"/>
    <row r="128" s="315" customFormat="1"/>
    <row r="129" s="315" customFormat="1"/>
    <row r="130" s="315" customFormat="1"/>
    <row r="131" s="315" customFormat="1"/>
    <row r="132" s="315" customFormat="1"/>
    <row r="133" s="315" customFormat="1"/>
    <row r="134" s="315" customFormat="1"/>
    <row r="135" s="315" customFormat="1"/>
    <row r="136" s="315" customFormat="1"/>
    <row r="137" s="315" customFormat="1"/>
    <row r="138" s="315" customFormat="1"/>
    <row r="139" s="315" customFormat="1"/>
    <row r="140" s="315" customFormat="1"/>
    <row r="141" s="315" customFormat="1"/>
    <row r="142" s="315" customFormat="1"/>
    <row r="143" s="315" customFormat="1"/>
    <row r="144" s="315" customFormat="1"/>
    <row r="145" s="315" customFormat="1"/>
    <row r="146" s="315" customFormat="1"/>
    <row r="147" s="315" customFormat="1"/>
    <row r="148" s="315" customFormat="1"/>
    <row r="149" s="315" customFormat="1"/>
    <row r="150" s="315" customFormat="1"/>
    <row r="151" s="315" customFormat="1"/>
    <row r="152" s="315" customFormat="1"/>
    <row r="153" s="315" customFormat="1"/>
    <row r="154" s="315" customFormat="1"/>
    <row r="155" s="315" customFormat="1"/>
    <row r="156" s="315" customFormat="1"/>
    <row r="157" s="315" customFormat="1"/>
    <row r="158" s="315" customFormat="1"/>
    <row r="159" s="315" customFormat="1"/>
    <row r="160" s="315" customFormat="1"/>
    <row r="161" s="315" customFormat="1"/>
    <row r="162" s="315" customFormat="1"/>
    <row r="163" s="315" customFormat="1"/>
    <row r="164" s="315" customFormat="1"/>
    <row r="165" s="315" customFormat="1"/>
    <row r="166" s="315" customFormat="1"/>
    <row r="167" s="315" customFormat="1"/>
    <row r="168" s="315" customFormat="1"/>
    <row r="169" s="315" customFormat="1"/>
    <row r="170" s="315" customFormat="1"/>
    <row r="171" s="315" customFormat="1"/>
    <row r="172" s="315" customFormat="1"/>
    <row r="173" s="315" customFormat="1"/>
    <row r="174" s="315" customFormat="1"/>
    <row r="175" s="315" customFormat="1"/>
    <row r="176" s="315" customFormat="1"/>
    <row r="177" s="315" customFormat="1"/>
    <row r="178" s="315" customFormat="1"/>
    <row r="179" s="315" customFormat="1"/>
    <row r="180" s="315" customFormat="1"/>
    <row r="181" s="315" customFormat="1"/>
    <row r="182" s="315" customFormat="1"/>
    <row r="183" s="315" customFormat="1"/>
    <row r="184" s="315" customFormat="1"/>
    <row r="185" s="315" customFormat="1"/>
    <row r="186" s="315" customFormat="1"/>
    <row r="187" s="315" customFormat="1"/>
    <row r="188" s="315" customFormat="1"/>
    <row r="189" s="315" customFormat="1"/>
    <row r="190" s="315" customFormat="1"/>
    <row r="191" s="315" customFormat="1"/>
    <row r="192" s="315" customFormat="1"/>
    <row r="193" s="315" customFormat="1"/>
    <row r="194" s="315" customFormat="1"/>
    <row r="195" s="315" customFormat="1"/>
    <row r="196" s="315" customFormat="1"/>
    <row r="197" s="315" customFormat="1"/>
    <row r="198" s="315" customFormat="1"/>
    <row r="199" s="315" customFormat="1"/>
    <row r="200" s="315" customFormat="1"/>
    <row r="201" s="315" customFormat="1"/>
    <row r="202" s="315" customFormat="1"/>
    <row r="203" s="315" customFormat="1"/>
    <row r="204" s="315" customFormat="1"/>
    <row r="205" s="315" customFormat="1"/>
    <row r="206" s="315" customFormat="1"/>
    <row r="207" s="315" customFormat="1"/>
    <row r="208" s="315" customFormat="1"/>
    <row r="209" s="315" customFormat="1"/>
    <row r="210" s="315" customFormat="1"/>
    <row r="211" s="315" customFormat="1"/>
    <row r="212" s="315" customFormat="1"/>
    <row r="213" s="315" customFormat="1"/>
    <row r="214" s="315" customFormat="1"/>
    <row r="215" s="315" customFormat="1"/>
    <row r="216" s="315" customFormat="1"/>
    <row r="217" s="315" customFormat="1"/>
    <row r="218" s="315" customFormat="1"/>
    <row r="219" s="315" customFormat="1"/>
    <row r="220" s="315" customFormat="1"/>
    <row r="221" s="315" customFormat="1"/>
    <row r="222" s="315" customFormat="1"/>
    <row r="223" s="315" customFormat="1"/>
    <row r="224" s="315" customFormat="1"/>
    <row r="225" s="315" customFormat="1"/>
    <row r="226" s="315" customFormat="1"/>
    <row r="227" s="315" customFormat="1"/>
    <row r="228" s="315" customFormat="1"/>
    <row r="229" s="315" customFormat="1"/>
    <row r="230" s="315" customFormat="1"/>
    <row r="231" s="315" customFormat="1"/>
    <row r="232" s="315" customFormat="1"/>
    <row r="233" s="315" customFormat="1"/>
    <row r="234" s="315" customFormat="1"/>
    <row r="235" s="315" customFormat="1"/>
    <row r="236" s="315" customFormat="1"/>
    <row r="237" s="315" customFormat="1"/>
    <row r="238" s="315" customFormat="1"/>
    <row r="239" s="315" customFormat="1"/>
    <row r="240" s="315" customFormat="1"/>
    <row r="241" s="315" customFormat="1"/>
    <row r="242" s="315" customFormat="1"/>
    <row r="243" s="315" customFormat="1"/>
    <row r="244" s="315" customFormat="1"/>
    <row r="245" s="315" customFormat="1"/>
    <row r="246" s="315" customFormat="1"/>
    <row r="247" s="315" customFormat="1"/>
    <row r="248" s="315" customFormat="1"/>
    <row r="249" s="315" customFormat="1"/>
    <row r="250" s="315" customFormat="1"/>
    <row r="251" s="315" customFormat="1"/>
    <row r="252" s="315" customFormat="1"/>
    <row r="253" s="315" customFormat="1"/>
    <row r="254" s="315" customFormat="1"/>
    <row r="255" s="315" customFormat="1"/>
    <row r="256" s="315" customFormat="1"/>
    <row r="257" s="315" customFormat="1"/>
    <row r="258" s="315" customFormat="1"/>
    <row r="259" s="315" customFormat="1"/>
    <row r="260" s="315" customFormat="1"/>
    <row r="261" s="315" customFormat="1"/>
    <row r="262" s="315" customFormat="1"/>
    <row r="263" s="315" customFormat="1"/>
    <row r="264" s="315" customFormat="1"/>
    <row r="265" s="315" customFormat="1"/>
    <row r="266" s="315" customFormat="1"/>
    <row r="267" s="315" customFormat="1"/>
    <row r="268" s="315" customFormat="1"/>
    <row r="269" s="315" customFormat="1"/>
    <row r="270" s="315" customFormat="1"/>
    <row r="271" s="315" customFormat="1"/>
    <row r="272" s="315" customFormat="1"/>
    <row r="273" s="315" customFormat="1"/>
    <row r="274" s="315" customFormat="1"/>
    <row r="275" s="315" customFormat="1"/>
    <row r="276" s="315" customFormat="1"/>
    <row r="277" s="315" customFormat="1"/>
    <row r="278" s="315" customFormat="1"/>
    <row r="279" s="315" customFormat="1"/>
    <row r="280" s="315" customFormat="1"/>
    <row r="281" s="315" customFormat="1"/>
    <row r="282" s="315" customFormat="1"/>
    <row r="283" s="315" customFormat="1"/>
    <row r="284" s="315" customFormat="1"/>
    <row r="285" s="315" customFormat="1"/>
    <row r="286" s="315" customFormat="1"/>
    <row r="287" s="315" customFormat="1"/>
    <row r="288" s="315" customFormat="1"/>
    <row r="289" s="315" customFormat="1"/>
    <row r="290" s="315" customFormat="1"/>
    <row r="291" s="315" customFormat="1"/>
    <row r="292" s="315" customFormat="1"/>
    <row r="293" s="315" customFormat="1"/>
    <row r="294" s="315" customFormat="1"/>
    <row r="295" s="315" customFormat="1"/>
    <row r="296" s="315" customFormat="1"/>
    <row r="297" s="315" customFormat="1"/>
    <row r="298" s="315" customFormat="1"/>
    <row r="299" s="315" customFormat="1"/>
    <row r="300" s="315" customFormat="1"/>
    <row r="301" s="315" customFormat="1"/>
    <row r="302" s="315" customFormat="1"/>
    <row r="303" s="315" customFormat="1"/>
    <row r="304" s="315" customFormat="1"/>
    <row r="305" s="315" customFormat="1"/>
    <row r="306" s="315" customFormat="1"/>
    <row r="307" s="315" customFormat="1"/>
    <row r="308" s="315" customFormat="1"/>
    <row r="309" s="315" customFormat="1"/>
    <row r="310" s="315" customFormat="1"/>
    <row r="311" s="315" customFormat="1"/>
    <row r="312" s="315" customFormat="1"/>
    <row r="313" s="315" customFormat="1"/>
    <row r="314" s="315" customFormat="1"/>
    <row r="315" s="315" customFormat="1"/>
    <row r="316" s="315" customFormat="1"/>
    <row r="317" s="315" customFormat="1"/>
    <row r="318" s="315" customFormat="1"/>
    <row r="319" s="315" customFormat="1"/>
    <row r="320" s="315" customFormat="1"/>
    <row r="321" s="315" customFormat="1"/>
    <row r="322" s="315" customFormat="1"/>
    <row r="323" s="315" customFormat="1"/>
    <row r="324" s="315" customFormat="1"/>
    <row r="325" s="315" customFormat="1"/>
    <row r="326" s="315" customFormat="1"/>
    <row r="327" s="315" customFormat="1"/>
    <row r="328" s="315" customFormat="1"/>
    <row r="329" s="315" customFormat="1"/>
    <row r="330" s="315" customFormat="1"/>
    <row r="331" s="315" customFormat="1"/>
    <row r="332" s="315" customFormat="1"/>
    <row r="333" s="315" customFormat="1"/>
    <row r="334" s="315" customFormat="1"/>
    <row r="335" s="315" customFormat="1"/>
    <row r="336" s="315" customFormat="1"/>
    <row r="337" s="315" customFormat="1"/>
    <row r="338" s="315" customFormat="1"/>
    <row r="339" s="315" customFormat="1"/>
    <row r="340" s="315" customFormat="1"/>
    <row r="341" s="315" customFormat="1"/>
    <row r="342" s="315" customFormat="1"/>
    <row r="343" s="315" customFormat="1"/>
    <row r="344" s="315" customFormat="1"/>
    <row r="345" s="315" customFormat="1"/>
    <row r="346" s="315" customFormat="1"/>
    <row r="347" s="315" customFormat="1"/>
    <row r="348" s="315" customFormat="1"/>
    <row r="349" s="315" customFormat="1"/>
    <row r="350" s="315" customFormat="1"/>
    <row r="351" s="315" customFormat="1"/>
    <row r="352" s="315" customFormat="1"/>
    <row r="353" s="315" customFormat="1"/>
    <row r="354" s="315" customFormat="1"/>
    <row r="355" s="315" customFormat="1"/>
    <row r="356" s="315" customFormat="1"/>
    <row r="357" s="315" customFormat="1"/>
    <row r="358" s="315" customFormat="1"/>
    <row r="359" s="315" customFormat="1"/>
    <row r="360" s="315" customFormat="1"/>
    <row r="361" s="315" customFormat="1"/>
    <row r="362" s="315" customFormat="1"/>
    <row r="363" s="315" customFormat="1"/>
    <row r="364" s="315" customFormat="1"/>
    <row r="365" s="315" customFormat="1"/>
    <row r="366" s="315" customFormat="1"/>
    <row r="367" s="315" customFormat="1"/>
    <row r="368" s="315" customFormat="1"/>
    <row r="369" s="315" customFormat="1"/>
    <row r="370" s="315" customFormat="1"/>
    <row r="371" s="315" customFormat="1"/>
    <row r="372" s="315" customFormat="1"/>
    <row r="373" s="315" customFormat="1"/>
    <row r="374" s="315" customFormat="1"/>
    <row r="375" s="315" customFormat="1"/>
    <row r="376" s="315" customFormat="1"/>
    <row r="377" s="315" customFormat="1"/>
    <row r="378" s="315" customFormat="1"/>
    <row r="379" s="315" customFormat="1"/>
    <row r="380" s="315" customFormat="1"/>
    <row r="381" s="315" customFormat="1"/>
    <row r="382" s="315" customFormat="1"/>
    <row r="383" s="315" customFormat="1"/>
    <row r="384" s="315" customFormat="1"/>
    <row r="385" s="315" customFormat="1"/>
    <row r="386" s="315" customFormat="1"/>
    <row r="387" s="315" customFormat="1"/>
    <row r="388" s="315" customFormat="1"/>
    <row r="389" s="315" customFormat="1"/>
    <row r="390" s="315" customFormat="1"/>
    <row r="391" s="315" customFormat="1"/>
    <row r="392" s="315" customFormat="1"/>
    <row r="393" s="315" customFormat="1"/>
    <row r="394" s="315" customFormat="1"/>
    <row r="395" s="315" customFormat="1"/>
    <row r="396" s="315" customFormat="1"/>
    <row r="397" s="315" customFormat="1"/>
    <row r="398" s="315" customFormat="1"/>
    <row r="399" s="315" customFormat="1"/>
    <row r="400" s="315" customFormat="1"/>
    <row r="401" s="315" customFormat="1"/>
    <row r="402" s="315" customFormat="1"/>
    <row r="403" s="315" customFormat="1"/>
    <row r="404" s="315" customFormat="1"/>
    <row r="405" s="315" customFormat="1"/>
    <row r="406" s="315" customFormat="1"/>
    <row r="407" s="315" customFormat="1"/>
    <row r="408" s="315" customFormat="1"/>
    <row r="409" s="315" customFormat="1"/>
    <row r="410" s="315" customFormat="1"/>
    <row r="411" s="315" customFormat="1"/>
    <row r="412" s="315" customFormat="1"/>
    <row r="413" s="315" customFormat="1"/>
    <row r="414" s="315" customFormat="1"/>
    <row r="415" s="315" customFormat="1"/>
    <row r="416" s="315" customFormat="1"/>
    <row r="417" s="315" customFormat="1"/>
    <row r="418" s="315" customFormat="1"/>
    <row r="419" s="315" customFormat="1"/>
    <row r="420" s="315" customFormat="1"/>
    <row r="421" s="315" customFormat="1"/>
    <row r="422" s="315" customFormat="1"/>
    <row r="423" s="315" customFormat="1"/>
    <row r="424" s="315" customFormat="1"/>
    <row r="425" s="315" customFormat="1"/>
    <row r="426" s="315" customFormat="1"/>
    <row r="427" s="315" customFormat="1"/>
    <row r="428" s="315" customFormat="1"/>
    <row r="429" s="315" customFormat="1"/>
    <row r="430" s="315" customFormat="1"/>
    <row r="431" s="315" customFormat="1"/>
    <row r="432" s="315" customFormat="1"/>
    <row r="433" s="315" customFormat="1"/>
    <row r="434" s="315" customFormat="1"/>
    <row r="435" s="315" customFormat="1"/>
    <row r="436" s="315" customFormat="1"/>
    <row r="437" s="315" customFormat="1"/>
    <row r="438" s="315" customFormat="1"/>
    <row r="439" s="315" customFormat="1"/>
    <row r="440" s="315" customFormat="1"/>
    <row r="441" s="315" customFormat="1"/>
    <row r="442" s="315" customFormat="1"/>
    <row r="443" s="315" customFormat="1"/>
    <row r="444" s="315" customFormat="1"/>
    <row r="445" s="315" customFormat="1"/>
    <row r="446" s="315" customFormat="1"/>
    <row r="447" s="315" customFormat="1"/>
    <row r="448" s="315" customFormat="1"/>
    <row r="449" s="315" customFormat="1"/>
    <row r="450" s="315" customFormat="1"/>
    <row r="451" s="315" customFormat="1"/>
    <row r="452" s="315" customFormat="1"/>
    <row r="453" s="315" customFormat="1"/>
    <row r="454" s="315" customFormat="1"/>
    <row r="455" s="315" customFormat="1"/>
    <row r="456" s="315" customFormat="1"/>
    <row r="457" s="315" customFormat="1"/>
    <row r="458" s="315" customFormat="1"/>
    <row r="459" s="315" customFormat="1"/>
    <row r="460" s="315" customFormat="1"/>
    <row r="461" s="315" customFormat="1"/>
    <row r="462" s="315" customFormat="1"/>
    <row r="463" s="315" customFormat="1"/>
    <row r="464" s="315" customFormat="1"/>
    <row r="465" s="315" customFormat="1"/>
    <row r="466" s="315" customFormat="1"/>
    <row r="467" s="315" customFormat="1"/>
    <row r="468" s="315" customFormat="1"/>
    <row r="469" s="315" customFormat="1"/>
    <row r="470" s="315" customFormat="1"/>
    <row r="471" s="315" customFormat="1"/>
    <row r="472" s="315" customFormat="1"/>
    <row r="473" s="315" customFormat="1"/>
    <row r="474" s="315" customFormat="1"/>
    <row r="475" s="315" customFormat="1"/>
    <row r="476" s="315" customFormat="1"/>
    <row r="477" s="315" customFormat="1"/>
    <row r="478" s="315" customFormat="1"/>
    <row r="479" s="315" customFormat="1"/>
    <row r="480" s="315" customFormat="1"/>
    <row r="481" s="315" customFormat="1"/>
    <row r="482" s="315" customFormat="1"/>
    <row r="483" s="315" customFormat="1"/>
    <row r="484" s="315" customFormat="1"/>
    <row r="485" s="315" customFormat="1"/>
    <row r="486" s="315" customFormat="1"/>
    <row r="487" s="315" customFormat="1"/>
    <row r="488" s="315" customFormat="1"/>
    <row r="489" s="315" customFormat="1"/>
    <row r="490" s="315" customFormat="1"/>
    <row r="491" s="315" customFormat="1"/>
    <row r="492" s="315" customFormat="1"/>
    <row r="493" s="315" customFormat="1"/>
    <row r="494" s="315" customFormat="1"/>
    <row r="495" s="315" customFormat="1"/>
    <row r="496" s="315" customFormat="1"/>
    <row r="497" s="315" customFormat="1"/>
    <row r="498" s="315" customFormat="1"/>
    <row r="499" s="315" customFormat="1"/>
    <row r="500" s="315" customFormat="1"/>
    <row r="501" s="315" customFormat="1"/>
    <row r="502" s="315" customFormat="1"/>
    <row r="503" s="315" customFormat="1"/>
    <row r="504" s="315" customFormat="1"/>
    <row r="505" s="315" customFormat="1"/>
    <row r="506" s="315" customFormat="1"/>
    <row r="507" s="315" customFormat="1"/>
    <row r="508" s="315" customFormat="1"/>
    <row r="509" s="315" customFormat="1"/>
    <row r="510" s="315" customFormat="1"/>
    <row r="511" s="315" customFormat="1"/>
    <row r="512" s="315" customFormat="1"/>
    <row r="513" s="315" customFormat="1"/>
    <row r="514" s="315" customFormat="1"/>
    <row r="515" s="315" customFormat="1"/>
    <row r="516" s="315" customFormat="1"/>
    <row r="517" s="315" customFormat="1"/>
    <row r="518" s="315" customFormat="1"/>
    <row r="519" s="315" customFormat="1"/>
    <row r="520" s="315" customFormat="1"/>
    <row r="521" s="315" customFormat="1"/>
    <row r="522" s="315" customFormat="1"/>
    <row r="523" s="315" customFormat="1"/>
    <row r="524" s="315" customFormat="1"/>
    <row r="525" s="315" customFormat="1"/>
    <row r="526" s="315" customFormat="1"/>
    <row r="527" s="315" customFormat="1"/>
    <row r="528" s="315" customFormat="1"/>
    <row r="529" s="315" customFormat="1"/>
    <row r="530" s="315" customFormat="1"/>
    <row r="531" s="315" customFormat="1"/>
    <row r="532" s="315" customFormat="1"/>
    <row r="533" s="315" customFormat="1"/>
    <row r="534" s="315" customFormat="1"/>
    <row r="535" s="315" customFormat="1"/>
    <row r="536" s="315" customFormat="1"/>
    <row r="537" s="315" customFormat="1"/>
    <row r="538" s="315" customFormat="1"/>
    <row r="539" s="315" customFormat="1"/>
    <row r="540" s="315" customFormat="1"/>
    <row r="541" s="315" customFormat="1"/>
    <row r="542" s="315" customFormat="1"/>
    <row r="543" s="315" customFormat="1"/>
    <row r="544" s="315" customFormat="1"/>
    <row r="545" s="315" customFormat="1"/>
    <row r="546" s="315" customFormat="1"/>
    <row r="547" s="315" customFormat="1"/>
    <row r="548" s="315" customFormat="1"/>
    <row r="549" s="315" customFormat="1"/>
    <row r="550" s="315" customFormat="1"/>
    <row r="551" s="315" customFormat="1"/>
    <row r="552" s="315" customFormat="1"/>
    <row r="553" s="315" customFormat="1"/>
    <row r="554" s="315" customFormat="1"/>
    <row r="555" s="315" customFormat="1"/>
    <row r="556" s="315" customFormat="1"/>
    <row r="557" s="315" customFormat="1"/>
    <row r="558" s="315" customFormat="1"/>
    <row r="559" s="315" customFormat="1"/>
    <row r="560" s="315" customFormat="1"/>
    <row r="561" s="315" customFormat="1"/>
    <row r="562" s="315" customFormat="1"/>
    <row r="563" s="315" customFormat="1"/>
    <row r="564" s="315" customFormat="1"/>
    <row r="565" s="315" customFormat="1"/>
    <row r="566" s="315" customFormat="1"/>
    <row r="567" s="315" customFormat="1"/>
    <row r="568" s="315" customFormat="1"/>
    <row r="569" s="315" customFormat="1"/>
    <row r="570" s="315" customFormat="1"/>
    <row r="571" s="315" customFormat="1"/>
    <row r="572" s="315" customFormat="1"/>
    <row r="573" s="315" customFormat="1"/>
    <row r="574" s="315" customFormat="1"/>
    <row r="575" s="315" customFormat="1"/>
    <row r="576" s="315" customFormat="1"/>
    <row r="577" s="315" customFormat="1"/>
    <row r="578" s="315" customFormat="1"/>
    <row r="579" s="315" customFormat="1"/>
    <row r="580" s="315" customFormat="1"/>
    <row r="581" s="315" customFormat="1"/>
    <row r="582" s="315" customFormat="1"/>
    <row r="583" s="315" customFormat="1"/>
    <row r="584" s="315" customFormat="1"/>
    <row r="585" s="315" customFormat="1"/>
    <row r="586" s="315" customFormat="1"/>
    <row r="587" s="315" customFormat="1"/>
    <row r="588" s="315" customFormat="1"/>
    <row r="589" s="315" customFormat="1"/>
    <row r="590" s="315" customFormat="1"/>
    <row r="591" s="315" customFormat="1"/>
    <row r="592" s="315" customFormat="1"/>
    <row r="593" s="315" customFormat="1"/>
    <row r="594" s="315" customFormat="1"/>
    <row r="595" s="315" customFormat="1"/>
    <row r="596" s="315" customFormat="1"/>
    <row r="597" s="315" customFormat="1"/>
    <row r="598" s="315" customFormat="1"/>
    <row r="599" s="315" customFormat="1"/>
    <row r="600" s="315" customFormat="1"/>
    <row r="601" s="315" customFormat="1"/>
    <row r="602" s="315" customFormat="1"/>
    <row r="603" s="315" customFormat="1"/>
    <row r="604" s="315" customFormat="1"/>
    <row r="605" s="315" customFormat="1"/>
    <row r="606" s="315" customFormat="1"/>
    <row r="607" s="315" customFormat="1"/>
    <row r="608" s="315" customFormat="1"/>
    <row r="609" s="315" customFormat="1"/>
    <row r="610" s="315" customFormat="1"/>
    <row r="611" s="315" customFormat="1"/>
    <row r="612" s="315" customFormat="1"/>
    <row r="613" s="315" customFormat="1"/>
    <row r="614" s="315" customFormat="1"/>
    <row r="615" s="315" customFormat="1"/>
    <row r="616" s="315" customFormat="1"/>
    <row r="617" s="315" customFormat="1"/>
    <row r="618" s="315" customFormat="1"/>
    <row r="619" s="315" customFormat="1"/>
    <row r="620" s="315" customFormat="1"/>
    <row r="621" s="315" customFormat="1"/>
    <row r="622" s="315" customFormat="1"/>
    <row r="623" s="315" customFormat="1"/>
    <row r="624" s="315" customFormat="1"/>
    <row r="625" s="315" customFormat="1"/>
    <row r="626" s="315" customFormat="1"/>
    <row r="627" s="315" customFormat="1"/>
    <row r="628" s="315" customFormat="1"/>
    <row r="629" s="315" customFormat="1"/>
    <row r="630" s="315" customFormat="1"/>
    <row r="631" s="315" customFormat="1"/>
    <row r="632" s="315" customFormat="1"/>
    <row r="633" s="315" customFormat="1"/>
    <row r="634" s="315" customFormat="1"/>
    <row r="635" s="315" customFormat="1"/>
    <row r="636" s="315" customFormat="1"/>
    <row r="637" s="315" customFormat="1"/>
    <row r="638" s="315" customFormat="1"/>
    <row r="639" s="315" customFormat="1"/>
    <row r="640" s="315" customFormat="1"/>
    <row r="641" s="315" customFormat="1"/>
    <row r="642" s="315" customFormat="1"/>
    <row r="643" s="315" customFormat="1"/>
    <row r="644" s="315" customFormat="1"/>
    <row r="645" s="315" customFormat="1"/>
    <row r="646" s="315" customFormat="1"/>
    <row r="647" s="315" customFormat="1"/>
    <row r="648" s="315" customFormat="1"/>
    <row r="649" s="315" customFormat="1"/>
    <row r="650" s="315" customFormat="1"/>
    <row r="651" s="315" customFormat="1"/>
    <row r="652" s="315" customFormat="1"/>
    <row r="653" s="315" customFormat="1"/>
    <row r="654" s="315" customFormat="1"/>
    <row r="655" s="315" customFormat="1"/>
    <row r="656" s="315" customFormat="1"/>
    <row r="657" s="315" customFormat="1"/>
    <row r="658" s="315" customFormat="1"/>
    <row r="659" s="315" customFormat="1"/>
    <row r="660" s="315" customFormat="1"/>
    <row r="661" s="315" customFormat="1"/>
    <row r="662" s="315" customFormat="1"/>
    <row r="663" s="315" customFormat="1"/>
    <row r="664" s="315" customFormat="1"/>
    <row r="665" s="315" customFormat="1"/>
    <row r="666" s="315" customFormat="1"/>
    <row r="667" s="315" customFormat="1"/>
    <row r="668" s="315" customFormat="1"/>
    <row r="669" s="315" customFormat="1"/>
    <row r="670" s="315" customFormat="1"/>
    <row r="671" s="315" customFormat="1"/>
    <row r="672" s="315" customFormat="1"/>
    <row r="673" s="315" customFormat="1"/>
    <row r="674" s="315" customFormat="1"/>
    <row r="675" s="315" customFormat="1"/>
    <row r="676" s="315" customFormat="1"/>
    <row r="677" s="315" customFormat="1"/>
    <row r="678" s="315" customFormat="1"/>
    <row r="679" s="315" customFormat="1"/>
    <row r="680" s="315" customFormat="1"/>
    <row r="681" s="315" customFormat="1"/>
    <row r="682" s="315" customFormat="1"/>
    <row r="683" s="315" customFormat="1"/>
    <row r="684" s="315" customFormat="1"/>
    <row r="685" s="315" customFormat="1"/>
    <row r="686" s="315" customFormat="1"/>
    <row r="687" s="315" customFormat="1"/>
    <row r="688" s="315" customFormat="1"/>
    <row r="689" s="315" customFormat="1"/>
    <row r="690" s="315" customFormat="1"/>
    <row r="691" s="315" customFormat="1"/>
    <row r="692" s="315" customFormat="1"/>
    <row r="693" s="315" customFormat="1"/>
    <row r="694" s="315" customFormat="1"/>
    <row r="695" s="315" customFormat="1"/>
    <row r="696" s="315" customFormat="1"/>
    <row r="697" s="315" customFormat="1"/>
    <row r="698" s="315" customFormat="1"/>
    <row r="699" s="315" customFormat="1"/>
    <row r="700" s="315" customFormat="1"/>
    <row r="701" s="315" customFormat="1"/>
    <row r="702" s="315" customFormat="1"/>
    <row r="703" s="315" customFormat="1"/>
    <row r="704" s="315" customFormat="1"/>
    <row r="705" s="315" customFormat="1"/>
    <row r="706" s="315" customFormat="1"/>
    <row r="707" s="315" customFormat="1"/>
    <row r="708" s="315" customFormat="1"/>
    <row r="709" s="315" customFormat="1"/>
    <row r="710" s="315" customFormat="1"/>
    <row r="711" s="315" customFormat="1"/>
    <row r="712" s="315" customFormat="1"/>
    <row r="713" s="315" customFormat="1"/>
    <row r="714" s="315" customFormat="1"/>
    <row r="715" s="315" customFormat="1"/>
    <row r="716" s="315" customFormat="1"/>
    <row r="717" s="315" customFormat="1"/>
    <row r="718" s="315" customFormat="1"/>
    <row r="719" s="315" customFormat="1"/>
    <row r="720" s="315" customFormat="1"/>
    <row r="721" s="315" customFormat="1"/>
    <row r="722" s="315" customFormat="1"/>
    <row r="723" s="315" customFormat="1"/>
    <row r="724" s="315" customFormat="1"/>
    <row r="725" s="315" customFormat="1"/>
    <row r="726" s="315" customFormat="1"/>
    <row r="727" s="315" customFormat="1"/>
    <row r="728" s="315" customFormat="1"/>
    <row r="729" s="315" customFormat="1"/>
    <row r="730" s="315" customFormat="1"/>
    <row r="731" s="315" customFormat="1"/>
    <row r="732" s="315" customFormat="1"/>
    <row r="733" s="315" customFormat="1"/>
    <row r="734" s="315" customFormat="1"/>
    <row r="735" s="315" customFormat="1"/>
    <row r="736" s="315" customFormat="1"/>
    <row r="737" s="315" customFormat="1"/>
    <row r="738" s="315" customFormat="1"/>
    <row r="739" s="315" customFormat="1"/>
    <row r="740" s="315" customFormat="1"/>
    <row r="741" s="315" customFormat="1"/>
    <row r="742" s="315" customFormat="1"/>
    <row r="743" s="315" customFormat="1"/>
    <row r="744" s="315" customFormat="1"/>
    <row r="745" s="315" customFormat="1"/>
    <row r="746" s="315" customFormat="1"/>
    <row r="747" s="315" customFormat="1"/>
    <row r="748" s="315" customFormat="1"/>
    <row r="749" s="315" customFormat="1"/>
    <row r="750" s="315" customFormat="1"/>
    <row r="751" s="315" customFormat="1"/>
    <row r="752" s="315" customFormat="1"/>
    <row r="753" s="315" customFormat="1"/>
    <row r="754" s="315" customFormat="1"/>
    <row r="755" s="315" customFormat="1"/>
    <row r="756" s="315" customFormat="1"/>
    <row r="757" s="315" customFormat="1"/>
    <row r="758" s="315" customFormat="1"/>
    <row r="759" s="315" customFormat="1"/>
    <row r="760" s="315" customFormat="1"/>
    <row r="761" s="315" customFormat="1"/>
    <row r="762" s="315" customFormat="1"/>
    <row r="763" s="315" customFormat="1"/>
    <row r="764" s="315" customFormat="1"/>
    <row r="765" s="315" customFormat="1"/>
    <row r="766" s="315" customFormat="1"/>
    <row r="767" s="315" customFormat="1"/>
    <row r="768" s="315" customFormat="1"/>
    <row r="769" s="315" customFormat="1"/>
    <row r="770" s="315" customFormat="1"/>
    <row r="771" s="315" customFormat="1"/>
    <row r="772" s="315" customFormat="1"/>
    <row r="773" s="315" customFormat="1"/>
    <row r="774" s="315" customFormat="1"/>
    <row r="775" s="315" customFormat="1"/>
    <row r="776" s="315" customFormat="1"/>
    <row r="777" s="315" customFormat="1"/>
    <row r="778" s="315" customFormat="1"/>
    <row r="779" s="315" customFormat="1"/>
    <row r="780" s="315" customFormat="1"/>
    <row r="781" s="315" customFormat="1"/>
    <row r="782" s="315" customFormat="1"/>
    <row r="783" s="315" customFormat="1"/>
    <row r="784" s="315" customFormat="1"/>
    <row r="785" s="315" customFormat="1"/>
    <row r="786" s="315" customFormat="1"/>
    <row r="787" s="315" customFormat="1"/>
    <row r="788" s="315" customFormat="1"/>
    <row r="789" s="315" customFormat="1"/>
    <row r="790" s="315" customFormat="1"/>
    <row r="791" s="315" customFormat="1"/>
    <row r="792" s="315" customFormat="1"/>
    <row r="793" s="315" customFormat="1"/>
    <row r="794" s="315" customFormat="1"/>
    <row r="795" s="315" customFormat="1"/>
    <row r="796" s="315" customFormat="1"/>
    <row r="797" s="315" customFormat="1"/>
    <row r="798" s="315" customFormat="1"/>
    <row r="799" s="315" customFormat="1"/>
    <row r="800" s="315" customFormat="1"/>
    <row r="801" s="315" customFormat="1"/>
    <row r="802" s="315" customFormat="1"/>
    <row r="803" s="315" customFormat="1"/>
    <row r="804" s="315" customFormat="1"/>
    <row r="805" s="315" customFormat="1"/>
    <row r="806" s="315" customFormat="1"/>
    <row r="807" s="315" customFormat="1"/>
    <row r="808" s="315" customFormat="1"/>
    <row r="809" s="315" customFormat="1"/>
    <row r="810" s="315" customFormat="1"/>
    <row r="811" s="315" customFormat="1"/>
    <row r="812" s="315" customFormat="1"/>
    <row r="813" s="315" customFormat="1"/>
    <row r="814" s="315" customFormat="1"/>
    <row r="815" s="315" customFormat="1"/>
    <row r="816" s="315" customFormat="1"/>
    <row r="817" s="315" customFormat="1"/>
    <row r="818" s="315" customFormat="1"/>
    <row r="819" s="315" customFormat="1"/>
    <row r="820" s="315" customFormat="1"/>
    <row r="821" s="315" customFormat="1"/>
    <row r="822" s="315" customFormat="1"/>
    <row r="823" s="315" customFormat="1"/>
    <row r="824" s="315" customFormat="1"/>
    <row r="825" s="315" customFormat="1"/>
    <row r="826" s="315" customFormat="1"/>
    <row r="827" s="315" customFormat="1"/>
    <row r="828" s="315" customFormat="1"/>
    <row r="829" s="315" customFormat="1"/>
    <row r="830" s="315" customFormat="1"/>
    <row r="831" s="315" customFormat="1"/>
    <row r="832" s="315" customFormat="1"/>
    <row r="833" s="315" customFormat="1"/>
    <row r="834" s="315" customFormat="1"/>
    <row r="835" s="315" customFormat="1"/>
    <row r="836" s="315" customFormat="1"/>
    <row r="837" s="315" customFormat="1"/>
    <row r="838" s="315" customFormat="1"/>
    <row r="839" s="315" customFormat="1"/>
    <row r="840" s="315" customFormat="1"/>
    <row r="841" s="315" customFormat="1"/>
    <row r="842" s="315" customFormat="1"/>
    <row r="843" s="315" customFormat="1"/>
    <row r="844" s="315" customFormat="1"/>
    <row r="845" s="315" customFormat="1"/>
    <row r="846" s="315" customFormat="1"/>
    <row r="847" s="315" customFormat="1"/>
    <row r="848" s="315" customFormat="1"/>
    <row r="849" s="315" customFormat="1"/>
    <row r="850" s="315" customFormat="1"/>
    <row r="851" s="315" customFormat="1"/>
    <row r="852" s="315" customFormat="1"/>
    <row r="853" s="315" customFormat="1"/>
    <row r="854" s="315" customFormat="1"/>
    <row r="855" s="315" customFormat="1"/>
    <row r="856" s="315" customFormat="1"/>
    <row r="857" s="315" customFormat="1"/>
    <row r="858" s="315" customFormat="1"/>
    <row r="859" s="315" customFormat="1"/>
    <row r="860" s="315" customFormat="1"/>
    <row r="861" s="315" customFormat="1"/>
    <row r="862" s="315" customFormat="1"/>
    <row r="863" s="315" customFormat="1"/>
    <row r="864" s="315" customFormat="1"/>
    <row r="865" s="315" customFormat="1"/>
    <row r="866" s="315" customFormat="1"/>
    <row r="867" s="315" customFormat="1"/>
    <row r="868" s="315" customFormat="1"/>
    <row r="869" s="315" customFormat="1"/>
    <row r="870" s="315" customFormat="1"/>
    <row r="871" s="315" customFormat="1"/>
    <row r="872" s="315" customFormat="1"/>
    <row r="873" s="315" customFormat="1"/>
    <row r="874" s="315" customFormat="1"/>
    <row r="875" s="315" customFormat="1"/>
    <row r="876" s="315" customFormat="1"/>
    <row r="877" s="315" customFormat="1"/>
    <row r="878" s="315" customFormat="1"/>
    <row r="879" s="315" customFormat="1"/>
    <row r="880" s="315" customFormat="1"/>
    <row r="881" s="315" customFormat="1"/>
    <row r="882" s="315" customFormat="1"/>
    <row r="883" s="315" customFormat="1"/>
    <row r="884" s="315" customFormat="1"/>
    <row r="885" s="315" customFormat="1"/>
    <row r="886" s="315" customFormat="1"/>
    <row r="887" s="315" customFormat="1"/>
    <row r="888" s="315" customFormat="1"/>
    <row r="889" s="315" customFormat="1"/>
    <row r="890" s="315" customFormat="1"/>
    <row r="891" s="315" customFormat="1"/>
    <row r="892" s="315" customFormat="1"/>
    <row r="893" s="315" customFormat="1"/>
    <row r="894" s="315" customFormat="1"/>
    <row r="895" s="315" customFormat="1"/>
    <row r="896" s="315" customFormat="1"/>
    <row r="897" s="315" customFormat="1"/>
    <row r="898" s="315" customFormat="1"/>
    <row r="899" s="315" customFormat="1"/>
    <row r="900" s="315" customFormat="1"/>
    <row r="901" s="315" customFormat="1"/>
    <row r="902" s="315" customFormat="1"/>
    <row r="903" s="315" customFormat="1"/>
    <row r="904" s="315" customFormat="1"/>
    <row r="905" s="315" customFormat="1"/>
    <row r="906" s="315" customFormat="1"/>
    <row r="907" s="315" customFormat="1"/>
    <row r="908" s="315" customFormat="1"/>
    <row r="909" s="315" customFormat="1"/>
    <row r="910" s="315" customFormat="1"/>
    <row r="911" s="315" customFormat="1"/>
    <row r="912" s="315" customFormat="1"/>
    <row r="913" s="315" customFormat="1"/>
    <row r="914" s="315" customFormat="1"/>
    <row r="915" s="315" customFormat="1"/>
    <row r="916" s="315" customFormat="1"/>
    <row r="917" s="315" customFormat="1"/>
    <row r="918" s="315" customFormat="1"/>
    <row r="919" s="315" customFormat="1"/>
    <row r="920" s="315" customFormat="1"/>
    <row r="921" s="315" customFormat="1"/>
    <row r="922" s="315" customFormat="1"/>
    <row r="923" s="315" customFormat="1"/>
    <row r="924" s="315" customFormat="1"/>
    <row r="925" s="315" customFormat="1"/>
    <row r="926" s="315" customFormat="1"/>
    <row r="927" s="315" customFormat="1"/>
    <row r="928" s="315" customFormat="1"/>
    <row r="929" s="315" customFormat="1"/>
    <row r="930" s="315" customFormat="1"/>
    <row r="931" s="315" customFormat="1"/>
    <row r="932" s="315" customFormat="1"/>
    <row r="933" s="315" customFormat="1"/>
    <row r="934" s="315" customFormat="1"/>
    <row r="935" s="315" customFormat="1"/>
    <row r="936" s="315" customFormat="1"/>
    <row r="937" s="315" customFormat="1"/>
    <row r="938" s="315" customFormat="1"/>
    <row r="939" s="315" customFormat="1"/>
    <row r="940" s="315" customFormat="1"/>
    <row r="941" s="315" customFormat="1"/>
    <row r="942" s="315" customFormat="1"/>
    <row r="943" s="315" customFormat="1"/>
    <row r="944" s="315" customFormat="1"/>
    <row r="945" s="315" customFormat="1"/>
    <row r="946" s="315" customFormat="1"/>
    <row r="947" s="315" customFormat="1"/>
    <row r="948" s="315" customFormat="1"/>
    <row r="949" s="315" customFormat="1"/>
    <row r="950" s="315" customFormat="1"/>
    <row r="951" s="315" customFormat="1"/>
    <row r="952" s="315" customFormat="1"/>
    <row r="953" s="315" customFormat="1"/>
    <row r="954" s="315" customFormat="1"/>
    <row r="955" s="315" customFormat="1"/>
    <row r="956" s="315" customFormat="1"/>
    <row r="957" s="315" customFormat="1"/>
    <row r="958" s="315" customFormat="1"/>
    <row r="959" s="315" customFormat="1"/>
    <row r="960" s="315" customFormat="1"/>
    <row r="961" s="315" customFormat="1"/>
    <row r="962" s="315" customFormat="1"/>
    <row r="963" s="315" customFormat="1"/>
    <row r="964" s="315" customFormat="1"/>
    <row r="965" s="315" customFormat="1"/>
    <row r="966" s="315" customFormat="1"/>
    <row r="967" s="315" customFormat="1"/>
    <row r="968" s="315" customFormat="1"/>
    <row r="969" s="315" customFormat="1"/>
    <row r="970" s="315" customFormat="1"/>
    <row r="971" s="315" customFormat="1"/>
    <row r="972" s="315" customFormat="1"/>
    <row r="973" s="315" customFormat="1"/>
    <row r="974" s="315" customFormat="1"/>
    <row r="975" s="315" customFormat="1"/>
    <row r="976" s="315" customFormat="1"/>
    <row r="977" s="315" customFormat="1"/>
    <row r="978" s="315" customFormat="1"/>
    <row r="979" s="315" customFormat="1"/>
    <row r="980" s="315" customFormat="1"/>
    <row r="981" s="315" customFormat="1"/>
    <row r="982" s="315" customFormat="1"/>
    <row r="983" s="315" customFormat="1"/>
    <row r="984" s="315" customFormat="1"/>
    <row r="985" s="315" customFormat="1"/>
    <row r="986" s="315" customFormat="1"/>
    <row r="987" s="315" customFormat="1"/>
    <row r="988" s="315" customFormat="1"/>
    <row r="989" s="315" customFormat="1"/>
    <row r="990" s="315" customFormat="1"/>
    <row r="991" s="315" customFormat="1"/>
    <row r="992" s="315" customFormat="1"/>
    <row r="993" s="315" customFormat="1"/>
    <row r="994" s="315" customFormat="1"/>
    <row r="995" s="315" customFormat="1"/>
    <row r="996" s="315" customFormat="1"/>
    <row r="997" s="315" customFormat="1"/>
    <row r="998" s="315" customFormat="1"/>
    <row r="999" s="315" customFormat="1"/>
    <row r="1000" s="315" customFormat="1"/>
    <row r="1001" s="315" customFormat="1"/>
    <row r="1002" s="315" customFormat="1"/>
    <row r="1003" s="315" customFormat="1"/>
    <row r="1004" s="315" customFormat="1"/>
    <row r="1005" s="315" customFormat="1"/>
    <row r="1006" s="315" customFormat="1"/>
    <row r="1007" s="315" customFormat="1"/>
    <row r="1008" s="315" customFormat="1"/>
    <row r="1009" s="315" customFormat="1"/>
    <row r="1010" s="315" customFormat="1"/>
    <row r="1011" s="315" customFormat="1"/>
    <row r="1012" s="315" customFormat="1"/>
    <row r="1013" s="315" customFormat="1"/>
    <row r="1014" s="315" customFormat="1"/>
    <row r="1015" s="315" customFormat="1"/>
    <row r="1016" s="315" customFormat="1"/>
    <row r="1017" s="315" customFormat="1"/>
    <row r="1018" s="315" customFormat="1"/>
    <row r="1019" s="315" customFormat="1"/>
    <row r="1020" s="315" customFormat="1"/>
    <row r="1021" s="315" customFormat="1"/>
    <row r="1022" s="315" customFormat="1"/>
    <row r="1023" s="315" customFormat="1"/>
    <row r="1024" s="315" customFormat="1"/>
    <row r="1025" s="315" customFormat="1"/>
    <row r="1026" s="315" customFormat="1"/>
    <row r="1027" s="315" customFormat="1"/>
    <row r="1028" s="315" customFormat="1"/>
    <row r="1029" s="315" customFormat="1"/>
    <row r="1030" s="315" customFormat="1"/>
    <row r="1031" s="315" customFormat="1"/>
    <row r="1032" s="315" customFormat="1"/>
    <row r="1033" s="315" customFormat="1"/>
    <row r="1034" s="315" customFormat="1"/>
    <row r="1035" s="315" customFormat="1"/>
    <row r="1036" s="315" customFormat="1"/>
    <row r="1037" s="315" customFormat="1"/>
    <row r="1038" s="315" customFormat="1"/>
    <row r="1039" s="315" customFormat="1"/>
    <row r="1040" s="315" customFormat="1"/>
    <row r="1041" s="315" customFormat="1"/>
    <row r="1042" s="315" customFormat="1"/>
    <row r="1043" s="315" customFormat="1"/>
    <row r="1044" s="315" customFormat="1"/>
    <row r="1045" s="315" customFormat="1"/>
    <row r="1046" s="315" customFormat="1"/>
    <row r="1047" s="315" customFormat="1"/>
    <row r="1048" s="315" customFormat="1"/>
    <row r="1049" s="315" customFormat="1"/>
    <row r="1050" s="315" customFormat="1"/>
    <row r="1051" s="315" customFormat="1"/>
    <row r="1052" s="315" customFormat="1"/>
    <row r="1053" s="315" customFormat="1"/>
    <row r="1054" s="315" customFormat="1"/>
    <row r="1055" s="315" customFormat="1"/>
    <row r="1056" s="315" customFormat="1"/>
    <row r="1057" s="315" customFormat="1"/>
    <row r="1058" s="315" customFormat="1"/>
    <row r="1059" s="315" customFormat="1"/>
    <row r="1060" s="315" customFormat="1"/>
    <row r="1061" s="315" customFormat="1"/>
    <row r="1062" s="315" customFormat="1"/>
    <row r="1063" s="315" customFormat="1"/>
    <row r="1064" s="315" customFormat="1"/>
    <row r="1065" s="315" customFormat="1"/>
    <row r="1066" s="315" customFormat="1"/>
    <row r="1067" s="315" customFormat="1"/>
    <row r="1068" s="315" customFormat="1"/>
    <row r="1069" s="315" customFormat="1"/>
    <row r="1070" s="315" customFormat="1"/>
    <row r="1071" s="315" customFormat="1"/>
    <row r="1072" s="315" customFormat="1"/>
    <row r="1073" s="315" customFormat="1"/>
    <row r="1074" s="315" customFormat="1"/>
    <row r="1075" s="315" customFormat="1"/>
    <row r="1076" s="315" customFormat="1"/>
    <row r="1077" s="315" customFormat="1"/>
    <row r="1078" s="315" customFormat="1"/>
    <row r="1079" s="315" customFormat="1"/>
    <row r="1080" s="315" customFormat="1"/>
    <row r="1081" s="315" customFormat="1"/>
    <row r="1082" s="315" customFormat="1"/>
    <row r="1083" s="315" customFormat="1"/>
    <row r="1084" s="315" customFormat="1"/>
    <row r="1085" s="315" customFormat="1"/>
    <row r="1086" s="315" customFormat="1"/>
    <row r="1087" s="315" customFormat="1"/>
    <row r="1088" s="315" customFormat="1"/>
    <row r="1089" s="315" customFormat="1"/>
    <row r="1090" s="315" customFormat="1"/>
    <row r="1091" s="315" customFormat="1"/>
    <row r="1092" s="315" customFormat="1"/>
    <row r="1093" s="315" customFormat="1"/>
    <row r="1094" s="315" customFormat="1"/>
    <row r="1095" s="315" customFormat="1"/>
    <row r="1096" s="315" customFormat="1"/>
    <row r="1097" s="315" customFormat="1"/>
    <row r="1098" s="315" customFormat="1"/>
    <row r="1099" s="315" customFormat="1"/>
    <row r="1100" s="315" customFormat="1"/>
    <row r="1101" s="315" customFormat="1"/>
    <row r="1102" s="315" customFormat="1"/>
    <row r="1103" s="315" customFormat="1"/>
    <row r="1104" s="315" customFormat="1"/>
    <row r="1105" s="315" customFormat="1"/>
    <row r="1106" s="315" customFormat="1"/>
    <row r="1107" s="315" customFormat="1"/>
    <row r="1108" s="315" customFormat="1"/>
    <row r="1109" s="315" customFormat="1"/>
    <row r="1110" s="315" customFormat="1"/>
    <row r="1111" s="315" customFormat="1"/>
    <row r="1112" s="315" customFormat="1"/>
    <row r="1113" s="315" customFormat="1"/>
    <row r="1114" s="315" customFormat="1"/>
    <row r="1115" s="315" customFormat="1"/>
    <row r="1116" s="315" customFormat="1"/>
    <row r="1117" s="315" customFormat="1"/>
    <row r="1118" s="315" customFormat="1"/>
    <row r="1119" s="315" customFormat="1"/>
    <row r="1120" s="315" customFormat="1"/>
    <row r="1121" s="315" customFormat="1"/>
    <row r="1122" s="315" customFormat="1"/>
    <row r="1123" s="315" customFormat="1"/>
    <row r="1124" s="315" customFormat="1"/>
    <row r="1125" s="315" customFormat="1"/>
    <row r="1126" s="315" customFormat="1"/>
    <row r="1127" s="315" customFormat="1"/>
    <row r="1128" s="315" customFormat="1"/>
    <row r="1129" s="315" customFormat="1"/>
    <row r="1130" s="315" customFormat="1"/>
    <row r="1131" s="315" customFormat="1"/>
    <row r="1132" s="315" customFormat="1"/>
    <row r="1133" s="315" customFormat="1"/>
    <row r="1134" s="315" customFormat="1"/>
    <row r="1135" s="315" customFormat="1"/>
    <row r="1136" s="315" customFormat="1"/>
    <row r="1137" s="315" customFormat="1"/>
    <row r="1138" s="315" customFormat="1"/>
    <row r="1139" s="315" customFormat="1"/>
    <row r="1140" s="315" customFormat="1"/>
    <row r="1141" s="315" customFormat="1"/>
    <row r="1142" s="315" customFormat="1"/>
    <row r="1143" s="315" customFormat="1"/>
    <row r="1144" s="315" customFormat="1"/>
    <row r="1145" s="315" customFormat="1"/>
    <row r="1146" s="315" customFormat="1"/>
    <row r="1147" s="315" customFormat="1"/>
    <row r="1148" s="315" customFormat="1"/>
    <row r="1149" s="315" customFormat="1"/>
    <row r="1150" s="315" customFormat="1"/>
    <row r="1151" s="315" customFormat="1"/>
    <row r="1152" s="315" customFormat="1"/>
    <row r="1153" s="315" customFormat="1"/>
    <row r="1154" s="315" customFormat="1"/>
    <row r="1155" s="315" customFormat="1"/>
    <row r="1156" s="315" customFormat="1"/>
    <row r="1157" s="315" customFormat="1"/>
    <row r="1158" s="315" customFormat="1"/>
    <row r="1159" s="315" customFormat="1"/>
    <row r="1160" s="315" customFormat="1"/>
    <row r="1161" s="315" customFormat="1"/>
    <row r="1162" s="315" customFormat="1"/>
    <row r="1163" s="315" customFormat="1"/>
    <row r="1164" s="315" customFormat="1"/>
    <row r="1165" s="315" customFormat="1"/>
    <row r="1166" s="315" customFormat="1"/>
    <row r="1167" s="315" customFormat="1"/>
    <row r="1168" s="315" customFormat="1"/>
    <row r="1169" s="315" customFormat="1"/>
    <row r="1170" s="315" customFormat="1"/>
    <row r="1171" s="315" customFormat="1"/>
    <row r="1172" s="315" customFormat="1"/>
    <row r="1173" s="315" customFormat="1"/>
    <row r="1174" s="315" customFormat="1"/>
    <row r="1175" s="315" customFormat="1"/>
    <row r="1176" s="315" customFormat="1"/>
    <row r="1177" s="315" customFormat="1"/>
    <row r="1178" s="315" customFormat="1"/>
    <row r="1179" s="315" customFormat="1"/>
    <row r="1180" s="315" customFormat="1"/>
    <row r="1181" s="315" customFormat="1"/>
    <row r="1182" s="315" customFormat="1"/>
    <row r="1183" s="315" customFormat="1"/>
    <row r="1184" s="315" customFormat="1"/>
    <row r="1185" s="315" customFormat="1"/>
    <row r="1186" s="315" customFormat="1"/>
  </sheetData>
  <hyperlinks>
    <hyperlink ref="B6" location="'Anleitung für Beschaffende'!Druckbereich" display="- Anleitung für Beschaffende " xr:uid="{61F961C6-102E-40D6-AFA0-571F07211DCB}"/>
    <hyperlink ref="B7" location="'Anleitung für Bietende'!Druckbereich" display="- Anleitung für Bietende" xr:uid="{94C3CBC1-6116-407A-BC16-60E723E1FEC0}"/>
    <hyperlink ref="D6" location="'Punktevergabe Übersicht'!Druckbereich" display="- Punktevergabe Übersicht" xr:uid="{D7FD01EE-049A-4661-94DB-B57FE8400BC4}"/>
    <hyperlink ref="D7" location="'Punktevergabe Details'!Druckbereich" display="- Punktevergabe Details" xr:uid="{F4EC257C-E927-4D32-85DB-55B135EE004A}"/>
    <hyperlink ref="D10" location="Einmalkosten!Druckbereich" display="- Einmalkosten" xr:uid="{FC4DA5D9-59B3-47D8-92BF-BFEA32A7578B}"/>
    <hyperlink ref="D11" location="'Transport+Installationskosten'!Druckbereich" display="- Transport- und Installationskosten" xr:uid="{F668F3B9-AF09-437B-B4C2-B72CDB9EFF01}"/>
    <hyperlink ref="D12" location="'Laufende Kosten'!Druckbereich" display="- Laufende Kosten" xr:uid="{7A96B887-3F98-4738-AD93-B78AB8AB79C9}"/>
    <hyperlink ref="D13" location="Investitionsrechnung!Druckbereich" display="- Investitionsrechnung" xr:uid="{9FF8F5B1-EA5C-484C-B245-A1FE2BA319AC}"/>
    <hyperlink ref="F16" location="Impressum!Druckbereich" display="Impressum" xr:uid="{A8812F63-DD9E-4C5B-A752-BB726C4B45C8}"/>
    <hyperlink ref="D16" location="'THG-Emissionen mit Zertifikat'!Druckbereich" display="- THG-Emissionen mit Zertifikat" xr:uid="{7056D89A-AFC8-4624-B181-796EAC823DB2}"/>
    <hyperlink ref="D17" location="'THG-Emissionen ohne Zertifikat'!Druckbereich" display="- THG-Emissionen ohne Zertifikat" xr:uid="{01257537-E945-41BA-9821-829F06906F40}"/>
    <hyperlink ref="D20" location="'Ergebnis LCC inkl. CO2-Kosten'!Druckbereich" display="- Ergebnis LCC inklusive CO2-Kosten; oder" xr:uid="{2DB4CBC3-CE6A-4F16-A1EB-19152860968A}"/>
    <hyperlink ref="D21" location="'Ergebnis LCC ohne CO2-Kosten'!Druckbereich" display="- Ergebnis LCC ohne CO2-Kosten" xr:uid="{1C814CA5-1870-463D-9CF4-8E5F21DC687B}"/>
    <hyperlink ref="F6" location="Produktion!A1" display="- Produktion" xr:uid="{6F7CEE41-EFB4-4213-B5CA-6635620D11F2}"/>
    <hyperlink ref="F7" location="'Transport + Installation'!A1" display="- Transport + Installation" xr:uid="{B45E86F0-BAD6-46C4-819A-F2C5700D0877}"/>
    <hyperlink ref="F8" location="Nutzung!A1" display="- Nutzung" xr:uid="{1A1D582E-2E82-4BA6-8854-C88459560FDF}"/>
    <hyperlink ref="F11" location="Emissionsfaktoren_Stoffe!A1" display="- Emissionsfaktoren Stoffe" xr:uid="{3D37C87A-60D4-49AE-BD57-F0D0625E81FE}"/>
    <hyperlink ref="F12" location="Emissionsfaktoren_Prozesse!A1" display="- Emissionsfaktoren Prozesse" xr:uid="{671C3222-2818-47C1-A564-9B533FB54DE2}"/>
    <hyperlink ref="F13" location="Emissionsfaktoren_Lebenszyklus!A1" display="- Emissionsfaktoren Lebenszyklus" xr:uid="{7EFF2F7D-9DF2-4E5B-89F3-E8CF230677FA}"/>
  </hyperlinks>
  <pageMargins left="0.70866141732283472" right="0.70866141732283472" top="0.78740157480314965" bottom="0.78740157480314965" header="0.31496062992125984" footer="0.31496062992125984"/>
  <pageSetup paperSize="9" scale="88" orientation="landscape" r:id="rId1"/>
  <headerFooter>
    <oddHeader>&amp;C&amp;14&amp;KFF0000TESTVERSION!</oddHeader>
    <oddFooter>&amp;L&amp;8LCC-CO2-Tool - Arbeitshilfe des Umweltbundesamtes&amp;C&amp;8Aufbau und Farbschema des Tools&amp;R&amp;8&amp;P</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4348B-C228-4785-BDCB-1B29C1F44C88}">
  <sheetPr codeName="Tabelle8">
    <tabColor rgb="FF88DEFF"/>
    <pageSetUpPr fitToPage="1"/>
  </sheetPr>
  <dimension ref="A1:AL1068"/>
  <sheetViews>
    <sheetView showGridLines="0" topLeftCell="A3" zoomScale="90" zoomScaleNormal="90" workbookViewId="0">
      <selection activeCell="C10" sqref="C10"/>
    </sheetView>
  </sheetViews>
  <sheetFormatPr baseColWidth="10" defaultColWidth="11.08203125" defaultRowHeight="14.5"/>
  <cols>
    <col min="1" max="1" width="2.08203125" style="75" customWidth="1"/>
    <col min="2" max="2" width="3.58203125" style="80" customWidth="1"/>
    <col min="3" max="3" width="73.5" style="79" customWidth="1"/>
    <col min="4" max="4" width="17.25" style="79" customWidth="1"/>
    <col min="5" max="5" width="11.08203125" style="79"/>
    <col min="6" max="6" width="84.75" style="79" customWidth="1"/>
    <col min="7" max="7" width="2.08203125" style="55" customWidth="1"/>
    <col min="8" max="38" width="11.08203125" style="55"/>
    <col min="39" max="16384" width="11.08203125" style="79"/>
  </cols>
  <sheetData>
    <row r="1" spans="1:38" s="75" customFormat="1">
      <c r="A1" s="471"/>
      <c r="B1" s="471"/>
      <c r="C1" s="471"/>
      <c r="D1" s="471"/>
      <c r="E1" s="471"/>
      <c r="F1" s="471"/>
      <c r="G1" s="471"/>
    </row>
    <row r="2" spans="1:38" s="54" customFormat="1" ht="55.15" customHeight="1">
      <c r="A2" s="471"/>
      <c r="B2" s="75"/>
      <c r="C2" s="290" t="s">
        <v>224</v>
      </c>
      <c r="D2" s="290"/>
      <c r="E2" s="996" t="s">
        <v>1886</v>
      </c>
      <c r="F2" s="290"/>
      <c r="G2" s="500"/>
      <c r="H2" s="499"/>
      <c r="I2" s="499"/>
      <c r="J2" s="499"/>
      <c r="K2" s="499"/>
      <c r="L2" s="499"/>
      <c r="M2" s="499"/>
      <c r="N2" s="499"/>
      <c r="O2" s="499"/>
      <c r="P2" s="499"/>
      <c r="Q2" s="499"/>
      <c r="R2" s="499"/>
      <c r="S2" s="499"/>
      <c r="T2" s="499"/>
      <c r="U2" s="499"/>
      <c r="V2" s="499"/>
      <c r="W2" s="499"/>
      <c r="X2" s="499"/>
      <c r="Y2" s="499"/>
      <c r="Z2" s="499"/>
      <c r="AA2" s="499"/>
      <c r="AB2" s="499"/>
      <c r="AC2" s="499"/>
      <c r="AD2" s="499"/>
      <c r="AE2" s="499"/>
      <c r="AF2" s="499"/>
      <c r="AG2" s="499"/>
      <c r="AH2" s="499"/>
      <c r="AI2" s="499"/>
      <c r="AJ2" s="499"/>
      <c r="AK2" s="499"/>
      <c r="AL2" s="499"/>
    </row>
    <row r="3" spans="1:38" s="54" customFormat="1" ht="30" customHeight="1">
      <c r="A3" s="471"/>
      <c r="B3" s="75"/>
      <c r="C3" s="358" t="s">
        <v>92</v>
      </c>
      <c r="D3" s="290"/>
      <c r="E3" s="996" t="s">
        <v>1887</v>
      </c>
      <c r="F3" s="290"/>
      <c r="G3" s="500"/>
      <c r="I3" s="499"/>
      <c r="J3" s="499"/>
      <c r="K3" s="499"/>
      <c r="L3" s="499"/>
      <c r="M3" s="499"/>
      <c r="N3" s="499"/>
      <c r="O3" s="499"/>
      <c r="P3" s="499"/>
      <c r="Q3" s="499"/>
      <c r="R3" s="499"/>
      <c r="S3" s="499"/>
      <c r="T3" s="499"/>
      <c r="U3" s="499"/>
      <c r="V3" s="499"/>
      <c r="W3" s="499"/>
      <c r="X3" s="499"/>
      <c r="Y3" s="499"/>
      <c r="Z3" s="499"/>
      <c r="AA3" s="499"/>
      <c r="AB3" s="499"/>
      <c r="AC3" s="499"/>
      <c r="AD3" s="499"/>
      <c r="AE3" s="499"/>
      <c r="AF3" s="499"/>
      <c r="AG3" s="499"/>
      <c r="AH3" s="499"/>
      <c r="AI3" s="499"/>
      <c r="AJ3" s="499"/>
      <c r="AK3" s="499"/>
      <c r="AL3" s="499"/>
    </row>
    <row r="4" spans="1:38" s="54" customFormat="1" ht="14.5" customHeight="1">
      <c r="A4" s="471"/>
      <c r="B4" s="75"/>
      <c r="C4" s="403" t="s">
        <v>225</v>
      </c>
      <c r="D4" s="290"/>
      <c r="E4" s="996" t="s">
        <v>1888</v>
      </c>
      <c r="F4" s="290"/>
      <c r="G4" s="500"/>
      <c r="I4" s="499"/>
      <c r="J4" s="499"/>
      <c r="K4" s="499"/>
      <c r="L4" s="499"/>
      <c r="M4" s="499"/>
      <c r="N4" s="499"/>
      <c r="O4" s="499"/>
      <c r="P4" s="499"/>
      <c r="Q4" s="499"/>
      <c r="R4" s="499"/>
      <c r="S4" s="499"/>
      <c r="T4" s="499"/>
      <c r="U4" s="499"/>
      <c r="V4" s="499"/>
      <c r="W4" s="499"/>
      <c r="X4" s="499"/>
      <c r="Y4" s="499"/>
      <c r="Z4" s="499"/>
      <c r="AA4" s="499"/>
      <c r="AB4" s="499"/>
      <c r="AC4" s="499"/>
      <c r="AD4" s="499"/>
      <c r="AE4" s="499"/>
      <c r="AF4" s="499"/>
      <c r="AG4" s="499"/>
      <c r="AH4" s="499"/>
      <c r="AI4" s="499"/>
      <c r="AJ4" s="499"/>
      <c r="AK4" s="499"/>
      <c r="AL4" s="499"/>
    </row>
    <row r="5" spans="1:38" s="54" customFormat="1" ht="14.5" customHeight="1">
      <c r="A5" s="471"/>
      <c r="B5" s="75"/>
      <c r="C5" s="290"/>
      <c r="D5" s="290"/>
      <c r="E5" s="290"/>
      <c r="F5" s="290"/>
      <c r="G5" s="500"/>
      <c r="I5" s="499"/>
      <c r="J5" s="499"/>
      <c r="K5" s="499"/>
      <c r="L5" s="499"/>
      <c r="M5" s="499"/>
      <c r="N5" s="499"/>
      <c r="O5" s="499"/>
      <c r="P5" s="499"/>
      <c r="Q5" s="499"/>
      <c r="R5" s="499"/>
      <c r="S5" s="499"/>
      <c r="T5" s="499"/>
      <c r="U5" s="499"/>
      <c r="V5" s="499"/>
      <c r="W5" s="499"/>
      <c r="X5" s="499"/>
      <c r="Y5" s="499"/>
      <c r="Z5" s="499"/>
      <c r="AA5" s="499"/>
      <c r="AB5" s="499"/>
      <c r="AC5" s="499"/>
      <c r="AD5" s="499"/>
      <c r="AE5" s="499"/>
      <c r="AF5" s="499"/>
      <c r="AG5" s="499"/>
      <c r="AH5" s="499"/>
      <c r="AI5" s="499"/>
      <c r="AJ5" s="499"/>
      <c r="AK5" s="499"/>
      <c r="AL5" s="499"/>
    </row>
    <row r="6" spans="1:38" s="53" customFormat="1" ht="18.649999999999999" customHeight="1">
      <c r="A6" s="471"/>
      <c r="B6" s="75"/>
      <c r="C6" s="585" t="s">
        <v>226</v>
      </c>
      <c r="D6" s="583" t="s">
        <v>227</v>
      </c>
      <c r="E6" s="584" t="s">
        <v>228</v>
      </c>
      <c r="F6" s="583" t="s">
        <v>229</v>
      </c>
      <c r="G6" s="500"/>
      <c r="H6" s="499"/>
      <c r="I6" s="499"/>
      <c r="J6" s="499"/>
      <c r="K6" s="499"/>
      <c r="L6" s="499"/>
      <c r="M6" s="499"/>
      <c r="N6" s="499"/>
      <c r="O6" s="499"/>
      <c r="P6" s="499"/>
      <c r="Q6" s="499"/>
      <c r="R6" s="499"/>
      <c r="S6" s="499"/>
      <c r="T6" s="499"/>
      <c r="U6" s="499"/>
      <c r="V6" s="499"/>
      <c r="W6" s="499"/>
      <c r="X6" s="499"/>
      <c r="Y6" s="499"/>
      <c r="Z6" s="499"/>
      <c r="AA6" s="499"/>
      <c r="AB6" s="499"/>
      <c r="AC6" s="499"/>
      <c r="AD6" s="499"/>
      <c r="AE6" s="499"/>
      <c r="AF6" s="499"/>
      <c r="AG6" s="499"/>
      <c r="AH6" s="499"/>
      <c r="AI6" s="499"/>
      <c r="AJ6" s="499"/>
      <c r="AK6" s="499"/>
      <c r="AL6" s="499"/>
    </row>
    <row r="7" spans="1:38" s="53" customFormat="1" ht="29">
      <c r="A7" s="471"/>
      <c r="B7" s="75"/>
      <c r="C7" s="581" t="s">
        <v>1310</v>
      </c>
      <c r="D7" s="579">
        <v>0.03</v>
      </c>
      <c r="E7" s="574" t="s">
        <v>230</v>
      </c>
      <c r="F7" s="501" t="s">
        <v>231</v>
      </c>
      <c r="G7" s="500"/>
      <c r="H7" s="499"/>
      <c r="I7" s="499"/>
      <c r="J7" s="499"/>
      <c r="K7" s="499"/>
      <c r="L7" s="499"/>
      <c r="M7" s="499"/>
      <c r="N7" s="499"/>
      <c r="O7" s="499"/>
      <c r="P7" s="499"/>
      <c r="Q7" s="499"/>
      <c r="R7" s="499"/>
      <c r="S7" s="499"/>
      <c r="T7" s="499"/>
      <c r="U7" s="499"/>
      <c r="V7" s="499"/>
      <c r="W7" s="499"/>
      <c r="X7" s="499"/>
      <c r="Y7" s="499"/>
      <c r="Z7" s="499"/>
      <c r="AA7" s="499"/>
      <c r="AB7" s="499"/>
      <c r="AC7" s="499"/>
      <c r="AD7" s="499"/>
      <c r="AE7" s="499"/>
      <c r="AF7" s="499"/>
      <c r="AG7" s="499"/>
      <c r="AH7" s="499"/>
      <c r="AI7" s="499"/>
      <c r="AJ7" s="499"/>
      <c r="AK7" s="499"/>
      <c r="AL7" s="499"/>
    </row>
    <row r="8" spans="1:38" s="53" customFormat="1">
      <c r="A8" s="471"/>
      <c r="B8" s="75"/>
      <c r="C8" s="582" t="s">
        <v>232</v>
      </c>
      <c r="D8" s="580">
        <v>0.01</v>
      </c>
      <c r="E8" s="574" t="s">
        <v>230</v>
      </c>
      <c r="F8" s="28"/>
      <c r="G8" s="500"/>
      <c r="H8" s="499"/>
      <c r="I8" s="499"/>
      <c r="J8" s="499"/>
      <c r="K8" s="499"/>
      <c r="L8" s="499"/>
      <c r="M8" s="499"/>
      <c r="N8" s="499"/>
      <c r="O8" s="499"/>
      <c r="P8" s="499"/>
      <c r="Q8" s="499"/>
      <c r="R8" s="499"/>
      <c r="S8" s="499"/>
      <c r="T8" s="499"/>
      <c r="U8" s="499"/>
      <c r="V8" s="499"/>
      <c r="W8" s="499"/>
      <c r="X8" s="499"/>
      <c r="Y8" s="499"/>
      <c r="Z8" s="499"/>
      <c r="AA8" s="499"/>
      <c r="AB8" s="499"/>
      <c r="AC8" s="499"/>
      <c r="AD8" s="499"/>
      <c r="AE8" s="499"/>
      <c r="AF8" s="499"/>
      <c r="AG8" s="499"/>
      <c r="AH8" s="499"/>
      <c r="AI8" s="499"/>
      <c r="AJ8" s="499"/>
      <c r="AK8" s="499"/>
      <c r="AL8" s="499"/>
    </row>
    <row r="9" spans="1:38" s="53" customFormat="1">
      <c r="A9" s="471"/>
      <c r="B9" s="75"/>
      <c r="C9" s="577" t="s">
        <v>1934</v>
      </c>
      <c r="D9" s="141">
        <f>D8-D7</f>
        <v>-1.9999999999999997E-2</v>
      </c>
      <c r="E9" s="574" t="s">
        <v>230</v>
      </c>
      <c r="F9" s="76"/>
      <c r="G9" s="500"/>
      <c r="H9" s="499"/>
      <c r="I9" s="499"/>
      <c r="J9" s="499"/>
      <c r="K9" s="499"/>
      <c r="L9" s="499"/>
      <c r="M9" s="499"/>
      <c r="N9" s="499"/>
      <c r="O9" s="499"/>
      <c r="P9" s="499"/>
      <c r="Q9" s="499"/>
      <c r="R9" s="499"/>
      <c r="S9" s="499"/>
      <c r="T9" s="499"/>
      <c r="U9" s="499"/>
      <c r="V9" s="499"/>
      <c r="W9" s="499"/>
      <c r="X9" s="499"/>
      <c r="Y9" s="499"/>
      <c r="Z9" s="499"/>
      <c r="AA9" s="499"/>
      <c r="AB9" s="499"/>
      <c r="AC9" s="499"/>
      <c r="AD9" s="499"/>
      <c r="AE9" s="499"/>
      <c r="AF9" s="499"/>
      <c r="AG9" s="499"/>
      <c r="AH9" s="499"/>
      <c r="AI9" s="499"/>
      <c r="AJ9" s="499"/>
      <c r="AK9" s="499"/>
      <c r="AL9" s="499"/>
    </row>
    <row r="10" spans="1:38" s="53" customFormat="1">
      <c r="A10" s="471"/>
      <c r="B10" s="75"/>
      <c r="C10" s="578" t="s">
        <v>1918</v>
      </c>
      <c r="D10" s="142">
        <f>Nutzung!C8</f>
        <v>10</v>
      </c>
      <c r="E10" s="791" t="str">
        <f>Nutzung!D8</f>
        <v xml:space="preserve">Jahr(e) </v>
      </c>
      <c r="F10" s="502"/>
      <c r="G10" s="500"/>
      <c r="H10" s="499"/>
      <c r="I10" s="499"/>
      <c r="J10" s="499"/>
      <c r="K10" s="499"/>
      <c r="L10" s="499"/>
      <c r="M10" s="499"/>
      <c r="N10" s="499"/>
      <c r="O10" s="499"/>
      <c r="P10" s="499"/>
      <c r="Q10" s="499"/>
      <c r="R10" s="499"/>
      <c r="S10" s="499"/>
      <c r="T10" s="499"/>
      <c r="U10" s="499"/>
      <c r="V10" s="499"/>
      <c r="W10" s="499"/>
      <c r="X10" s="499"/>
      <c r="Y10" s="499"/>
      <c r="Z10" s="499"/>
      <c r="AA10" s="499"/>
      <c r="AB10" s="499"/>
      <c r="AC10" s="499"/>
      <c r="AD10" s="499"/>
      <c r="AE10" s="499"/>
      <c r="AF10" s="499"/>
      <c r="AG10" s="499"/>
      <c r="AH10" s="499"/>
      <c r="AI10" s="499"/>
      <c r="AJ10" s="499"/>
      <c r="AK10" s="499"/>
      <c r="AL10" s="499"/>
    </row>
    <row r="11" spans="1:38" s="53" customFormat="1">
      <c r="A11" s="471"/>
      <c r="B11" s="75"/>
      <c r="C11" s="569"/>
      <c r="D11" s="570"/>
      <c r="E11" s="567"/>
      <c r="F11" s="568"/>
      <c r="G11" s="500"/>
      <c r="H11" s="499"/>
      <c r="I11" s="499"/>
      <c r="J11" s="499"/>
      <c r="K11" s="499"/>
      <c r="L11" s="499"/>
      <c r="M11" s="499"/>
      <c r="N11" s="499"/>
      <c r="O11" s="499"/>
      <c r="P11" s="499"/>
      <c r="Q11" s="499"/>
      <c r="R11" s="499"/>
      <c r="S11" s="499"/>
      <c r="T11" s="499"/>
      <c r="U11" s="499"/>
      <c r="V11" s="499"/>
      <c r="W11" s="499"/>
      <c r="X11" s="499"/>
      <c r="Y11" s="499"/>
      <c r="Z11" s="499"/>
      <c r="AA11" s="499"/>
      <c r="AB11" s="499"/>
      <c r="AC11" s="499"/>
      <c r="AD11" s="499"/>
      <c r="AE11" s="499"/>
      <c r="AF11" s="499"/>
      <c r="AG11" s="499"/>
      <c r="AH11" s="499"/>
      <c r="AI11" s="499"/>
      <c r="AJ11" s="499"/>
      <c r="AK11" s="499"/>
      <c r="AL11" s="499"/>
    </row>
    <row r="12" spans="1:38" s="54" customFormat="1">
      <c r="A12" s="471"/>
      <c r="B12" s="75"/>
      <c r="C12" s="596" t="s">
        <v>1920</v>
      </c>
      <c r="D12" s="503"/>
      <c r="E12" s="503"/>
      <c r="F12" s="503"/>
      <c r="G12" s="500"/>
      <c r="H12" s="499"/>
      <c r="I12" s="499"/>
      <c r="J12" s="499"/>
      <c r="K12" s="499"/>
      <c r="L12" s="499"/>
      <c r="M12" s="499"/>
      <c r="N12" s="499"/>
      <c r="O12" s="499"/>
      <c r="P12" s="499"/>
      <c r="Q12" s="499"/>
      <c r="R12" s="499"/>
      <c r="S12" s="499"/>
      <c r="T12" s="499"/>
      <c r="U12" s="499"/>
      <c r="V12" s="499"/>
      <c r="W12" s="499"/>
      <c r="X12" s="499"/>
      <c r="Y12" s="499"/>
      <c r="Z12" s="499"/>
      <c r="AA12" s="499"/>
      <c r="AB12" s="499"/>
      <c r="AC12" s="499"/>
      <c r="AD12" s="499"/>
      <c r="AE12" s="499"/>
      <c r="AF12" s="499"/>
      <c r="AG12" s="499"/>
      <c r="AH12" s="499"/>
      <c r="AI12" s="499"/>
      <c r="AJ12" s="499"/>
      <c r="AK12" s="499"/>
      <c r="AL12" s="499"/>
    </row>
    <row r="13" spans="1:38" s="352" customFormat="1" ht="43.5">
      <c r="A13" s="504"/>
      <c r="B13" s="350"/>
      <c r="C13" s="792" t="s">
        <v>1919</v>
      </c>
      <c r="D13" s="793">
        <f>PV(D9,D10,-'Laufende Kosten'!H9)</f>
        <v>786.34308199521922</v>
      </c>
      <c r="E13" s="351"/>
      <c r="F13" s="576" t="s">
        <v>1319</v>
      </c>
      <c r="G13" s="505"/>
      <c r="H13" s="506"/>
      <c r="I13" s="506"/>
      <c r="J13" s="506"/>
      <c r="K13" s="506"/>
      <c r="L13" s="506"/>
      <c r="M13" s="506"/>
      <c r="N13" s="506"/>
      <c r="O13" s="506"/>
      <c r="P13" s="506"/>
      <c r="Q13" s="506"/>
      <c r="R13" s="506"/>
      <c r="S13" s="506"/>
      <c r="T13" s="506"/>
      <c r="U13" s="506"/>
      <c r="V13" s="506"/>
      <c r="W13" s="506"/>
      <c r="X13" s="506"/>
      <c r="Y13" s="506"/>
      <c r="Z13" s="506"/>
      <c r="AA13" s="506"/>
      <c r="AB13" s="506"/>
      <c r="AC13" s="506"/>
      <c r="AD13" s="506"/>
      <c r="AE13" s="506"/>
      <c r="AF13" s="506"/>
      <c r="AG13" s="506"/>
      <c r="AH13" s="506"/>
      <c r="AI13" s="506"/>
      <c r="AJ13" s="506"/>
      <c r="AK13" s="506"/>
      <c r="AL13" s="506"/>
    </row>
    <row r="14" spans="1:38" s="53" customFormat="1" ht="14.5" customHeight="1">
      <c r="A14" s="471"/>
      <c r="B14" s="75"/>
      <c r="C14" s="571" t="s">
        <v>1307</v>
      </c>
      <c r="D14" s="627">
        <f>PV(D9,D10,-'Laufende Kosten'!H12)</f>
        <v>213.09541787500001</v>
      </c>
      <c r="E14" s="77"/>
      <c r="F14" s="503"/>
      <c r="G14" s="500"/>
      <c r="H14" s="499"/>
      <c r="I14" s="499"/>
      <c r="J14" s="499"/>
      <c r="K14" s="499"/>
      <c r="L14" s="499"/>
      <c r="M14" s="499"/>
      <c r="N14" s="499"/>
      <c r="O14" s="499"/>
      <c r="P14" s="499"/>
      <c r="Q14" s="499"/>
      <c r="R14" s="499"/>
      <c r="S14" s="499"/>
      <c r="T14" s="499"/>
      <c r="U14" s="499"/>
      <c r="V14" s="499"/>
      <c r="W14" s="499"/>
      <c r="X14" s="499"/>
      <c r="Y14" s="499"/>
      <c r="Z14" s="499"/>
      <c r="AA14" s="499"/>
      <c r="AB14" s="499"/>
      <c r="AC14" s="499"/>
      <c r="AD14" s="499"/>
      <c r="AE14" s="499"/>
      <c r="AF14" s="499"/>
      <c r="AG14" s="499"/>
      <c r="AH14" s="499"/>
      <c r="AI14" s="499"/>
      <c r="AJ14" s="499"/>
      <c r="AK14" s="499"/>
      <c r="AL14" s="499"/>
    </row>
    <row r="15" spans="1:38" s="53" customFormat="1" ht="14.5" customHeight="1">
      <c r="A15" s="471"/>
      <c r="B15" s="75"/>
      <c r="C15" s="572" t="s">
        <v>1308</v>
      </c>
      <c r="D15" s="627">
        <f>PV(D9,D10,-'Laufende Kosten'!H48)</f>
        <v>0</v>
      </c>
      <c r="E15" s="77"/>
      <c r="F15" s="503"/>
      <c r="G15" s="500"/>
      <c r="H15" s="499"/>
      <c r="I15" s="499"/>
      <c r="J15" s="499"/>
      <c r="K15" s="499"/>
      <c r="L15" s="499"/>
      <c r="M15" s="499"/>
      <c r="N15" s="499"/>
      <c r="O15" s="499"/>
      <c r="P15" s="499"/>
      <c r="Q15" s="499"/>
      <c r="R15" s="499"/>
      <c r="S15" s="499"/>
      <c r="T15" s="499"/>
      <c r="U15" s="499"/>
      <c r="V15" s="499"/>
      <c r="W15" s="499"/>
      <c r="X15" s="499"/>
      <c r="Y15" s="499"/>
      <c r="Z15" s="499"/>
      <c r="AA15" s="499"/>
      <c r="AB15" s="499"/>
      <c r="AC15" s="499"/>
      <c r="AD15" s="499"/>
      <c r="AE15" s="499"/>
      <c r="AF15" s="499"/>
      <c r="AG15" s="499"/>
      <c r="AH15" s="499"/>
      <c r="AI15" s="499"/>
      <c r="AJ15" s="499"/>
      <c r="AK15" s="499"/>
      <c r="AL15" s="499"/>
    </row>
    <row r="16" spans="1:38" s="53" customFormat="1" ht="14.5" customHeight="1">
      <c r="A16" s="471"/>
      <c r="B16" s="75"/>
      <c r="C16" s="572" t="s">
        <v>1309</v>
      </c>
      <c r="D16" s="627">
        <f>PV(D9,D10,-'Laufende Kosten'!H63)</f>
        <v>573.24766412021916</v>
      </c>
      <c r="E16" s="77"/>
      <c r="F16" s="503"/>
      <c r="G16" s="500"/>
      <c r="H16" s="499"/>
      <c r="I16" s="499"/>
      <c r="J16" s="499"/>
      <c r="K16" s="499"/>
      <c r="L16" s="499"/>
      <c r="M16" s="499"/>
      <c r="N16" s="499"/>
      <c r="O16" s="499"/>
      <c r="P16" s="499"/>
      <c r="Q16" s="499"/>
      <c r="R16" s="499"/>
      <c r="S16" s="499"/>
      <c r="T16" s="499"/>
      <c r="U16" s="499"/>
      <c r="V16" s="499"/>
      <c r="W16" s="499"/>
      <c r="X16" s="499"/>
      <c r="Y16" s="499"/>
      <c r="Z16" s="499"/>
      <c r="AA16" s="499"/>
      <c r="AB16" s="499"/>
      <c r="AC16" s="499"/>
      <c r="AD16" s="499"/>
      <c r="AE16" s="499"/>
      <c r="AF16" s="499"/>
      <c r="AG16" s="499"/>
      <c r="AH16" s="499"/>
      <c r="AI16" s="499"/>
      <c r="AJ16" s="499"/>
      <c r="AK16" s="499"/>
      <c r="AL16" s="499"/>
    </row>
    <row r="17" spans="1:38" s="53" customFormat="1" ht="22.9" customHeight="1" thickBot="1">
      <c r="A17" s="471"/>
      <c r="B17" s="75"/>
      <c r="C17" s="586" t="s">
        <v>1311</v>
      </c>
      <c r="D17" s="794">
        <f>SUM(D14:D16)</f>
        <v>786.34308199521911</v>
      </c>
      <c r="E17" s="78"/>
      <c r="F17" s="502"/>
      <c r="G17" s="500"/>
      <c r="H17" s="499"/>
      <c r="I17" s="499"/>
      <c r="J17" s="499"/>
      <c r="K17" s="499"/>
      <c r="L17" s="499"/>
      <c r="M17" s="499"/>
      <c r="N17" s="499"/>
      <c r="O17" s="499"/>
      <c r="P17" s="499"/>
      <c r="Q17" s="499"/>
      <c r="R17" s="499"/>
      <c r="S17" s="499"/>
      <c r="T17" s="499"/>
      <c r="U17" s="499"/>
      <c r="V17" s="499"/>
      <c r="W17" s="499"/>
      <c r="X17" s="499"/>
      <c r="Y17" s="499"/>
      <c r="Z17" s="499"/>
      <c r="AA17" s="499"/>
      <c r="AB17" s="499"/>
      <c r="AC17" s="499"/>
      <c r="AD17" s="499"/>
      <c r="AE17" s="499"/>
      <c r="AF17" s="499"/>
      <c r="AG17" s="499"/>
      <c r="AH17" s="499"/>
      <c r="AI17" s="499"/>
      <c r="AJ17" s="499"/>
      <c r="AK17" s="499"/>
      <c r="AL17" s="499"/>
    </row>
    <row r="18" spans="1:38" s="53" customFormat="1" ht="15" thickTop="1">
      <c r="A18" s="471"/>
      <c r="B18" s="75"/>
      <c r="C18" s="573" t="s">
        <v>1312</v>
      </c>
      <c r="D18" s="620">
        <f>D10*'Laufende Kosten'!H9</f>
        <v>702.46477656000002</v>
      </c>
      <c r="E18" s="503"/>
      <c r="F18" s="503"/>
      <c r="G18" s="500"/>
      <c r="H18" s="499"/>
      <c r="I18" s="499"/>
      <c r="J18" s="499"/>
      <c r="K18" s="499"/>
      <c r="L18" s="499"/>
      <c r="M18" s="499"/>
      <c r="N18" s="499"/>
      <c r="O18" s="499"/>
      <c r="P18" s="499"/>
      <c r="Q18" s="499"/>
      <c r="R18" s="499"/>
      <c r="S18" s="499"/>
      <c r="T18" s="499"/>
      <c r="U18" s="499"/>
      <c r="V18" s="499"/>
      <c r="W18" s="499"/>
      <c r="X18" s="499"/>
      <c r="Y18" s="499"/>
      <c r="Z18" s="499"/>
      <c r="AA18" s="499"/>
      <c r="AB18" s="499"/>
      <c r="AC18" s="499"/>
      <c r="AD18" s="499"/>
      <c r="AE18" s="499"/>
      <c r="AF18" s="499"/>
      <c r="AG18" s="499"/>
      <c r="AH18" s="499"/>
      <c r="AI18" s="499"/>
      <c r="AJ18" s="499"/>
      <c r="AK18" s="499"/>
      <c r="AL18" s="499"/>
    </row>
    <row r="19" spans="1:38" s="53" customFormat="1">
      <c r="A19" s="471"/>
      <c r="B19" s="75"/>
      <c r="C19" s="508"/>
      <c r="D19" s="509"/>
      <c r="E19" s="503"/>
      <c r="F19" s="503"/>
      <c r="G19" s="500"/>
      <c r="H19" s="499"/>
      <c r="I19" s="499"/>
      <c r="J19" s="499"/>
      <c r="K19" s="499"/>
      <c r="L19" s="499"/>
      <c r="M19" s="499"/>
      <c r="N19" s="499"/>
      <c r="O19" s="499"/>
      <c r="P19" s="499"/>
      <c r="Q19" s="499"/>
      <c r="R19" s="499"/>
      <c r="S19" s="499"/>
      <c r="T19" s="499"/>
      <c r="U19" s="499"/>
      <c r="V19" s="499"/>
      <c r="W19" s="499"/>
      <c r="X19" s="499"/>
      <c r="Y19" s="499"/>
      <c r="Z19" s="499"/>
      <c r="AA19" s="499"/>
      <c r="AB19" s="499"/>
      <c r="AC19" s="499"/>
      <c r="AD19" s="499"/>
      <c r="AE19" s="499"/>
      <c r="AF19" s="499"/>
      <c r="AG19" s="499"/>
      <c r="AH19" s="499"/>
      <c r="AI19" s="499"/>
      <c r="AJ19" s="499"/>
      <c r="AK19" s="499"/>
      <c r="AL19" s="499"/>
    </row>
    <row r="20" spans="1:38" s="55" customFormat="1">
      <c r="A20" s="471"/>
      <c r="B20" s="471"/>
      <c r="C20" s="471"/>
      <c r="D20" s="471"/>
      <c r="E20" s="471"/>
      <c r="F20" s="471"/>
      <c r="G20" s="471"/>
      <c r="H20" s="358"/>
      <c r="I20" s="358"/>
      <c r="J20" s="358"/>
      <c r="K20" s="358"/>
      <c r="L20" s="358"/>
      <c r="M20" s="358"/>
      <c r="N20" s="358"/>
      <c r="O20" s="358"/>
      <c r="P20" s="358"/>
      <c r="Q20" s="358"/>
      <c r="R20" s="358"/>
      <c r="S20" s="358"/>
      <c r="T20" s="358"/>
      <c r="U20" s="358"/>
      <c r="V20" s="358"/>
      <c r="W20" s="358"/>
      <c r="X20" s="358"/>
      <c r="Y20" s="358"/>
      <c r="Z20" s="358"/>
      <c r="AA20" s="358"/>
      <c r="AB20" s="358"/>
      <c r="AC20" s="358"/>
      <c r="AD20" s="358"/>
      <c r="AE20" s="358"/>
      <c r="AF20" s="358"/>
      <c r="AG20" s="358"/>
      <c r="AH20" s="358"/>
      <c r="AI20" s="358"/>
      <c r="AJ20" s="358"/>
      <c r="AK20" s="358"/>
      <c r="AL20" s="358"/>
    </row>
    <row r="21" spans="1:38">
      <c r="B21" s="75"/>
      <c r="C21" s="358"/>
      <c r="D21" s="358"/>
      <c r="E21" s="358"/>
      <c r="F21" s="358"/>
      <c r="G21" s="358"/>
      <c r="H21" s="358"/>
      <c r="I21" s="358"/>
      <c r="J21" s="358"/>
      <c r="K21" s="358"/>
      <c r="L21" s="358"/>
      <c r="M21" s="358"/>
      <c r="N21" s="358"/>
      <c r="O21" s="358"/>
      <c r="P21" s="358"/>
      <c r="Q21" s="358"/>
      <c r="R21" s="358"/>
      <c r="S21" s="358"/>
      <c r="T21" s="358"/>
      <c r="U21" s="358"/>
      <c r="V21" s="358"/>
      <c r="W21" s="358"/>
      <c r="X21" s="358"/>
      <c r="Y21" s="358"/>
      <c r="Z21" s="358"/>
      <c r="AA21" s="358"/>
      <c r="AB21" s="358"/>
      <c r="AC21" s="358"/>
      <c r="AD21" s="358"/>
      <c r="AE21" s="358"/>
      <c r="AF21" s="358"/>
      <c r="AG21" s="358"/>
      <c r="AH21" s="358"/>
      <c r="AI21" s="358"/>
      <c r="AJ21" s="358"/>
      <c r="AK21" s="358"/>
      <c r="AL21" s="358"/>
    </row>
    <row r="22" spans="1:38" s="55" customFormat="1">
      <c r="A22" s="75"/>
      <c r="B22" s="75"/>
      <c r="C22" s="358"/>
      <c r="D22" s="358"/>
      <c r="E22" s="358"/>
      <c r="F22" s="358"/>
      <c r="G22" s="358"/>
      <c r="H22" s="358"/>
      <c r="I22" s="358"/>
      <c r="J22" s="358"/>
      <c r="K22" s="358"/>
      <c r="L22" s="358"/>
      <c r="M22" s="358"/>
      <c r="N22" s="358"/>
      <c r="O22" s="358"/>
      <c r="P22" s="358"/>
      <c r="Q22" s="358"/>
      <c r="R22" s="358"/>
      <c r="S22" s="358"/>
      <c r="T22" s="358"/>
      <c r="U22" s="358"/>
      <c r="V22" s="358"/>
      <c r="W22" s="358"/>
      <c r="X22" s="358"/>
      <c r="Y22" s="358"/>
      <c r="Z22" s="358"/>
      <c r="AA22" s="358"/>
      <c r="AB22" s="358"/>
      <c r="AC22" s="358"/>
      <c r="AD22" s="358"/>
      <c r="AE22" s="358"/>
      <c r="AF22" s="358"/>
      <c r="AG22" s="358"/>
      <c r="AH22" s="358"/>
      <c r="AI22" s="358"/>
      <c r="AJ22" s="358"/>
      <c r="AK22" s="358"/>
      <c r="AL22" s="358"/>
    </row>
    <row r="23" spans="1:38" s="55" customFormat="1">
      <c r="A23" s="75"/>
      <c r="B23" s="75"/>
    </row>
    <row r="24" spans="1:38" s="55" customFormat="1">
      <c r="A24" s="75"/>
      <c r="B24" s="75"/>
    </row>
    <row r="25" spans="1:38" s="55" customFormat="1">
      <c r="A25" s="75"/>
      <c r="B25" s="75"/>
    </row>
    <row r="26" spans="1:38" s="55" customFormat="1">
      <c r="A26" s="75"/>
      <c r="B26" s="75"/>
    </row>
    <row r="27" spans="1:38" s="55" customFormat="1">
      <c r="A27" s="75"/>
      <c r="B27" s="75"/>
    </row>
    <row r="28" spans="1:38" s="55" customFormat="1">
      <c r="A28" s="75"/>
      <c r="B28" s="75"/>
    </row>
    <row r="29" spans="1:38" s="55" customFormat="1">
      <c r="A29" s="75"/>
      <c r="B29" s="75"/>
    </row>
    <row r="30" spans="1:38" s="55" customFormat="1">
      <c r="A30" s="75"/>
      <c r="B30" s="75"/>
    </row>
    <row r="31" spans="1:38" s="55" customFormat="1">
      <c r="A31" s="75"/>
      <c r="B31" s="75"/>
    </row>
    <row r="32" spans="1:38" s="55" customFormat="1">
      <c r="A32" s="75"/>
      <c r="B32" s="75"/>
    </row>
    <row r="33" spans="1:2" s="55" customFormat="1">
      <c r="A33" s="75"/>
      <c r="B33" s="75"/>
    </row>
    <row r="34" spans="1:2" s="55" customFormat="1">
      <c r="A34" s="75"/>
      <c r="B34" s="75"/>
    </row>
    <row r="35" spans="1:2" s="55" customFormat="1">
      <c r="A35" s="75"/>
      <c r="B35" s="75"/>
    </row>
    <row r="36" spans="1:2" s="55" customFormat="1">
      <c r="A36" s="75"/>
      <c r="B36" s="75"/>
    </row>
    <row r="37" spans="1:2" s="55" customFormat="1">
      <c r="A37" s="75"/>
      <c r="B37" s="75"/>
    </row>
    <row r="38" spans="1:2" s="55" customFormat="1">
      <c r="A38" s="75"/>
      <c r="B38" s="75"/>
    </row>
    <row r="39" spans="1:2" s="55" customFormat="1">
      <c r="A39" s="75"/>
      <c r="B39" s="75"/>
    </row>
    <row r="40" spans="1:2" s="55" customFormat="1">
      <c r="A40" s="75"/>
      <c r="B40" s="75"/>
    </row>
    <row r="41" spans="1:2" s="55" customFormat="1">
      <c r="A41" s="75"/>
      <c r="B41" s="75"/>
    </row>
    <row r="42" spans="1:2" s="55" customFormat="1">
      <c r="A42" s="75"/>
      <c r="B42" s="75"/>
    </row>
    <row r="43" spans="1:2" s="55" customFormat="1">
      <c r="A43" s="75"/>
      <c r="B43" s="75"/>
    </row>
    <row r="44" spans="1:2" s="55" customFormat="1">
      <c r="A44" s="75"/>
      <c r="B44" s="75"/>
    </row>
    <row r="45" spans="1:2" s="55" customFormat="1">
      <c r="A45" s="75"/>
      <c r="B45" s="75"/>
    </row>
    <row r="46" spans="1:2" s="55" customFormat="1">
      <c r="A46" s="75"/>
      <c r="B46" s="75"/>
    </row>
    <row r="47" spans="1:2" s="55" customFormat="1">
      <c r="A47" s="75"/>
      <c r="B47" s="75"/>
    </row>
    <row r="48" spans="1:2" s="55" customFormat="1">
      <c r="A48" s="75"/>
      <c r="B48" s="75"/>
    </row>
    <row r="49" spans="1:2" s="55" customFormat="1">
      <c r="A49" s="75"/>
      <c r="B49" s="75"/>
    </row>
    <row r="50" spans="1:2" s="55" customFormat="1">
      <c r="A50" s="75"/>
      <c r="B50" s="75"/>
    </row>
    <row r="51" spans="1:2" s="55" customFormat="1">
      <c r="A51" s="75"/>
      <c r="B51" s="75"/>
    </row>
    <row r="52" spans="1:2" s="55" customFormat="1">
      <c r="A52" s="75"/>
      <c r="B52" s="75"/>
    </row>
    <row r="53" spans="1:2" s="55" customFormat="1">
      <c r="A53" s="75"/>
      <c r="B53" s="75"/>
    </row>
    <row r="54" spans="1:2" s="55" customFormat="1">
      <c r="A54" s="75"/>
      <c r="B54" s="75"/>
    </row>
    <row r="55" spans="1:2" s="55" customFormat="1">
      <c r="A55" s="75"/>
      <c r="B55" s="75"/>
    </row>
    <row r="56" spans="1:2" s="55" customFormat="1">
      <c r="A56" s="75"/>
      <c r="B56" s="75"/>
    </row>
    <row r="57" spans="1:2" s="55" customFormat="1">
      <c r="A57" s="75"/>
      <c r="B57" s="75"/>
    </row>
    <row r="58" spans="1:2" s="55" customFormat="1">
      <c r="A58" s="75"/>
      <c r="B58" s="75"/>
    </row>
    <row r="59" spans="1:2" s="55" customFormat="1">
      <c r="A59" s="75"/>
      <c r="B59" s="75"/>
    </row>
    <row r="60" spans="1:2" s="55" customFormat="1">
      <c r="A60" s="75"/>
      <c r="B60" s="75"/>
    </row>
    <row r="61" spans="1:2" s="55" customFormat="1">
      <c r="A61" s="75"/>
      <c r="B61" s="75"/>
    </row>
    <row r="62" spans="1:2" s="55" customFormat="1">
      <c r="A62" s="75"/>
      <c r="B62" s="75"/>
    </row>
    <row r="63" spans="1:2" s="55" customFormat="1">
      <c r="A63" s="75"/>
      <c r="B63" s="75"/>
    </row>
    <row r="64" spans="1:2" s="55" customFormat="1">
      <c r="A64" s="75"/>
      <c r="B64" s="75"/>
    </row>
    <row r="65" spans="1:2" s="55" customFormat="1">
      <c r="A65" s="75"/>
      <c r="B65" s="75"/>
    </row>
    <row r="66" spans="1:2" s="55" customFormat="1">
      <c r="A66" s="75"/>
      <c r="B66" s="75"/>
    </row>
    <row r="67" spans="1:2" s="55" customFormat="1">
      <c r="A67" s="75"/>
      <c r="B67" s="75"/>
    </row>
    <row r="68" spans="1:2" s="55" customFormat="1">
      <c r="A68" s="75"/>
      <c r="B68" s="75"/>
    </row>
    <row r="69" spans="1:2" s="55" customFormat="1">
      <c r="A69" s="75"/>
      <c r="B69" s="75"/>
    </row>
    <row r="70" spans="1:2" s="55" customFormat="1">
      <c r="A70" s="75"/>
      <c r="B70" s="75"/>
    </row>
    <row r="71" spans="1:2" s="55" customFormat="1">
      <c r="A71" s="75"/>
      <c r="B71" s="75"/>
    </row>
    <row r="72" spans="1:2" s="55" customFormat="1">
      <c r="A72" s="75"/>
      <c r="B72" s="75"/>
    </row>
    <row r="73" spans="1:2" s="55" customFormat="1">
      <c r="A73" s="75"/>
      <c r="B73" s="75"/>
    </row>
    <row r="74" spans="1:2" s="55" customFormat="1">
      <c r="A74" s="75"/>
      <c r="B74" s="75"/>
    </row>
    <row r="75" spans="1:2" s="55" customFormat="1">
      <c r="A75" s="75"/>
      <c r="B75" s="75"/>
    </row>
    <row r="76" spans="1:2" s="55" customFormat="1">
      <c r="A76" s="75"/>
      <c r="B76" s="75"/>
    </row>
    <row r="77" spans="1:2" s="55" customFormat="1">
      <c r="A77" s="75"/>
      <c r="B77" s="75"/>
    </row>
    <row r="78" spans="1:2" s="55" customFormat="1">
      <c r="A78" s="75"/>
      <c r="B78" s="75"/>
    </row>
    <row r="79" spans="1:2" s="55" customFormat="1">
      <c r="A79" s="75"/>
      <c r="B79" s="75"/>
    </row>
    <row r="80" spans="1:2" s="55" customFormat="1">
      <c r="A80" s="75"/>
      <c r="B80" s="75"/>
    </row>
    <row r="81" spans="1:2" s="55" customFormat="1">
      <c r="A81" s="75"/>
      <c r="B81" s="75"/>
    </row>
    <row r="82" spans="1:2" s="55" customFormat="1">
      <c r="A82" s="75"/>
      <c r="B82" s="75"/>
    </row>
    <row r="83" spans="1:2" s="55" customFormat="1">
      <c r="A83" s="75"/>
      <c r="B83" s="75"/>
    </row>
    <row r="84" spans="1:2" s="55" customFormat="1">
      <c r="A84" s="75"/>
      <c r="B84" s="75"/>
    </row>
    <row r="85" spans="1:2" s="55" customFormat="1">
      <c r="A85" s="75"/>
      <c r="B85" s="75"/>
    </row>
    <row r="86" spans="1:2" s="55" customFormat="1">
      <c r="A86" s="75"/>
      <c r="B86" s="75"/>
    </row>
    <row r="87" spans="1:2" s="55" customFormat="1">
      <c r="A87" s="75"/>
      <c r="B87" s="75"/>
    </row>
    <row r="88" spans="1:2" s="55" customFormat="1">
      <c r="A88" s="75"/>
      <c r="B88" s="75"/>
    </row>
    <row r="89" spans="1:2" s="55" customFormat="1">
      <c r="A89" s="75"/>
      <c r="B89" s="75"/>
    </row>
    <row r="90" spans="1:2" s="55" customFormat="1">
      <c r="A90" s="75"/>
      <c r="B90" s="75"/>
    </row>
    <row r="91" spans="1:2" s="55" customFormat="1">
      <c r="A91" s="75"/>
      <c r="B91" s="75"/>
    </row>
    <row r="92" spans="1:2" s="55" customFormat="1">
      <c r="A92" s="75"/>
      <c r="B92" s="75"/>
    </row>
    <row r="93" spans="1:2" s="55" customFormat="1">
      <c r="A93" s="75"/>
      <c r="B93" s="75"/>
    </row>
    <row r="94" spans="1:2" s="55" customFormat="1">
      <c r="A94" s="75"/>
      <c r="B94" s="75"/>
    </row>
    <row r="95" spans="1:2" s="55" customFormat="1">
      <c r="A95" s="75"/>
      <c r="B95" s="75"/>
    </row>
    <row r="96" spans="1:2" s="55" customFormat="1">
      <c r="A96" s="75"/>
      <c r="B96" s="75"/>
    </row>
    <row r="97" spans="1:2" s="55" customFormat="1">
      <c r="A97" s="75"/>
      <c r="B97" s="75"/>
    </row>
    <row r="98" spans="1:2" s="55" customFormat="1">
      <c r="A98" s="75"/>
      <c r="B98" s="75"/>
    </row>
    <row r="99" spans="1:2" s="55" customFormat="1">
      <c r="A99" s="75"/>
      <c r="B99" s="75"/>
    </row>
    <row r="100" spans="1:2" s="55" customFormat="1">
      <c r="A100" s="75"/>
      <c r="B100" s="75"/>
    </row>
    <row r="101" spans="1:2" s="55" customFormat="1">
      <c r="A101" s="75"/>
      <c r="B101" s="75"/>
    </row>
    <row r="102" spans="1:2" s="55" customFormat="1">
      <c r="A102" s="75"/>
      <c r="B102" s="75"/>
    </row>
    <row r="103" spans="1:2" s="55" customFormat="1">
      <c r="A103" s="75"/>
      <c r="B103" s="75"/>
    </row>
    <row r="104" spans="1:2" s="55" customFormat="1">
      <c r="A104" s="75"/>
      <c r="B104" s="75"/>
    </row>
    <row r="105" spans="1:2" s="55" customFormat="1">
      <c r="A105" s="75"/>
      <c r="B105" s="75"/>
    </row>
    <row r="106" spans="1:2" s="55" customFormat="1">
      <c r="A106" s="75"/>
      <c r="B106" s="75"/>
    </row>
    <row r="107" spans="1:2" s="55" customFormat="1">
      <c r="A107" s="75"/>
      <c r="B107" s="75"/>
    </row>
    <row r="108" spans="1:2" s="55" customFormat="1">
      <c r="A108" s="75"/>
      <c r="B108" s="75"/>
    </row>
    <row r="109" spans="1:2" s="55" customFormat="1">
      <c r="A109" s="75"/>
      <c r="B109" s="75"/>
    </row>
    <row r="110" spans="1:2" s="55" customFormat="1">
      <c r="A110" s="75"/>
      <c r="B110" s="75"/>
    </row>
    <row r="111" spans="1:2" s="55" customFormat="1">
      <c r="A111" s="75"/>
      <c r="B111" s="75"/>
    </row>
    <row r="112" spans="1:2" s="55" customFormat="1">
      <c r="A112" s="75"/>
      <c r="B112" s="75"/>
    </row>
    <row r="113" spans="1:2" s="55" customFormat="1">
      <c r="A113" s="75"/>
      <c r="B113" s="75"/>
    </row>
    <row r="114" spans="1:2" s="55" customFormat="1">
      <c r="A114" s="75"/>
      <c r="B114" s="75"/>
    </row>
    <row r="115" spans="1:2" s="55" customFormat="1">
      <c r="A115" s="75"/>
      <c r="B115" s="75"/>
    </row>
    <row r="116" spans="1:2" s="55" customFormat="1">
      <c r="A116" s="75"/>
      <c r="B116" s="75"/>
    </row>
    <row r="117" spans="1:2" s="55" customFormat="1">
      <c r="A117" s="75"/>
      <c r="B117" s="75"/>
    </row>
    <row r="118" spans="1:2" s="55" customFormat="1">
      <c r="A118" s="75"/>
      <c r="B118" s="75"/>
    </row>
    <row r="119" spans="1:2" s="55" customFormat="1">
      <c r="A119" s="75"/>
      <c r="B119" s="75"/>
    </row>
    <row r="120" spans="1:2" s="55" customFormat="1">
      <c r="A120" s="75"/>
      <c r="B120" s="75"/>
    </row>
    <row r="121" spans="1:2" s="55" customFormat="1">
      <c r="A121" s="75"/>
      <c r="B121" s="75"/>
    </row>
    <row r="122" spans="1:2" s="55" customFormat="1">
      <c r="A122" s="75"/>
      <c r="B122" s="75"/>
    </row>
    <row r="123" spans="1:2" s="55" customFormat="1">
      <c r="A123" s="75"/>
      <c r="B123" s="75"/>
    </row>
    <row r="124" spans="1:2" s="55" customFormat="1">
      <c r="A124" s="75"/>
      <c r="B124" s="75"/>
    </row>
    <row r="125" spans="1:2" s="55" customFormat="1">
      <c r="A125" s="75"/>
      <c r="B125" s="75"/>
    </row>
    <row r="126" spans="1:2" s="55" customFormat="1">
      <c r="A126" s="75"/>
      <c r="B126" s="75"/>
    </row>
    <row r="127" spans="1:2" s="55" customFormat="1">
      <c r="A127" s="75"/>
      <c r="B127" s="75"/>
    </row>
    <row r="128" spans="1:2" s="55" customFormat="1">
      <c r="A128" s="75"/>
      <c r="B128" s="75"/>
    </row>
    <row r="129" spans="1:2" s="55" customFormat="1">
      <c r="A129" s="75"/>
      <c r="B129" s="75"/>
    </row>
    <row r="130" spans="1:2" s="55" customFormat="1">
      <c r="A130" s="75"/>
      <c r="B130" s="75"/>
    </row>
    <row r="131" spans="1:2" s="55" customFormat="1">
      <c r="A131" s="75"/>
      <c r="B131" s="75"/>
    </row>
    <row r="132" spans="1:2" s="55" customFormat="1">
      <c r="A132" s="75"/>
      <c r="B132" s="75"/>
    </row>
    <row r="133" spans="1:2" s="55" customFormat="1">
      <c r="A133" s="75"/>
      <c r="B133" s="75"/>
    </row>
    <row r="134" spans="1:2" s="55" customFormat="1">
      <c r="A134" s="75"/>
      <c r="B134" s="75"/>
    </row>
    <row r="135" spans="1:2" s="55" customFormat="1">
      <c r="A135" s="75"/>
      <c r="B135" s="75"/>
    </row>
    <row r="136" spans="1:2" s="55" customFormat="1">
      <c r="A136" s="75"/>
      <c r="B136" s="75"/>
    </row>
    <row r="137" spans="1:2" s="55" customFormat="1">
      <c r="A137" s="75"/>
      <c r="B137" s="75"/>
    </row>
    <row r="138" spans="1:2" s="55" customFormat="1">
      <c r="A138" s="75"/>
      <c r="B138" s="75"/>
    </row>
    <row r="139" spans="1:2" s="55" customFormat="1">
      <c r="A139" s="75"/>
      <c r="B139" s="75"/>
    </row>
    <row r="140" spans="1:2" s="55" customFormat="1">
      <c r="A140" s="75"/>
      <c r="B140" s="75"/>
    </row>
    <row r="141" spans="1:2" s="55" customFormat="1">
      <c r="A141" s="75"/>
      <c r="B141" s="75"/>
    </row>
    <row r="142" spans="1:2" s="55" customFormat="1">
      <c r="A142" s="75"/>
      <c r="B142" s="75"/>
    </row>
    <row r="143" spans="1:2" s="55" customFormat="1">
      <c r="A143" s="75"/>
      <c r="B143" s="75"/>
    </row>
    <row r="144" spans="1:2" s="55" customFormat="1">
      <c r="A144" s="75"/>
      <c r="B144" s="75"/>
    </row>
    <row r="145" spans="1:2" s="55" customFormat="1">
      <c r="A145" s="75"/>
      <c r="B145" s="75"/>
    </row>
    <row r="146" spans="1:2" s="55" customFormat="1">
      <c r="A146" s="75"/>
      <c r="B146" s="75"/>
    </row>
    <row r="147" spans="1:2" s="55" customFormat="1">
      <c r="A147" s="75"/>
      <c r="B147" s="75"/>
    </row>
    <row r="148" spans="1:2" s="55" customFormat="1">
      <c r="A148" s="75"/>
      <c r="B148" s="75"/>
    </row>
    <row r="149" spans="1:2" s="55" customFormat="1">
      <c r="A149" s="75"/>
      <c r="B149" s="75"/>
    </row>
    <row r="150" spans="1:2" s="55" customFormat="1">
      <c r="A150" s="75"/>
      <c r="B150" s="75"/>
    </row>
    <row r="151" spans="1:2" s="55" customFormat="1">
      <c r="A151" s="75"/>
      <c r="B151" s="75"/>
    </row>
    <row r="152" spans="1:2" s="55" customFormat="1">
      <c r="A152" s="75"/>
      <c r="B152" s="75"/>
    </row>
    <row r="153" spans="1:2" s="55" customFormat="1">
      <c r="A153" s="75"/>
      <c r="B153" s="75"/>
    </row>
    <row r="154" spans="1:2" s="55" customFormat="1">
      <c r="A154" s="75"/>
      <c r="B154" s="75"/>
    </row>
    <row r="155" spans="1:2" s="55" customFormat="1">
      <c r="A155" s="75"/>
      <c r="B155" s="75"/>
    </row>
    <row r="156" spans="1:2" s="55" customFormat="1">
      <c r="A156" s="75"/>
      <c r="B156" s="75"/>
    </row>
    <row r="157" spans="1:2" s="55" customFormat="1">
      <c r="A157" s="75"/>
      <c r="B157" s="75"/>
    </row>
    <row r="158" spans="1:2" s="55" customFormat="1">
      <c r="A158" s="75"/>
      <c r="B158" s="75"/>
    </row>
    <row r="159" spans="1:2" s="55" customFormat="1">
      <c r="A159" s="75"/>
      <c r="B159" s="75"/>
    </row>
    <row r="160" spans="1:2" s="55" customFormat="1">
      <c r="A160" s="75"/>
      <c r="B160" s="75"/>
    </row>
    <row r="161" spans="1:2" s="55" customFormat="1">
      <c r="A161" s="75"/>
      <c r="B161" s="75"/>
    </row>
    <row r="162" spans="1:2" s="55" customFormat="1">
      <c r="A162" s="75"/>
      <c r="B162" s="75"/>
    </row>
    <row r="163" spans="1:2" s="55" customFormat="1">
      <c r="A163" s="75"/>
      <c r="B163" s="75"/>
    </row>
    <row r="164" spans="1:2" s="55" customFormat="1">
      <c r="A164" s="75"/>
      <c r="B164" s="75"/>
    </row>
    <row r="165" spans="1:2" s="55" customFormat="1">
      <c r="A165" s="75"/>
      <c r="B165" s="75"/>
    </row>
    <row r="166" spans="1:2" s="55" customFormat="1">
      <c r="A166" s="75"/>
      <c r="B166" s="75"/>
    </row>
    <row r="167" spans="1:2" s="55" customFormat="1">
      <c r="A167" s="75"/>
      <c r="B167" s="75"/>
    </row>
    <row r="168" spans="1:2" s="55" customFormat="1">
      <c r="A168" s="75"/>
      <c r="B168" s="75"/>
    </row>
    <row r="169" spans="1:2" s="55" customFormat="1">
      <c r="A169" s="75"/>
      <c r="B169" s="75"/>
    </row>
    <row r="170" spans="1:2" s="55" customFormat="1">
      <c r="A170" s="75"/>
      <c r="B170" s="75"/>
    </row>
    <row r="171" spans="1:2" s="55" customFormat="1">
      <c r="A171" s="75"/>
      <c r="B171" s="75"/>
    </row>
    <row r="172" spans="1:2" s="55" customFormat="1">
      <c r="A172" s="75"/>
      <c r="B172" s="75"/>
    </row>
    <row r="173" spans="1:2" s="55" customFormat="1">
      <c r="A173" s="75"/>
      <c r="B173" s="75"/>
    </row>
    <row r="174" spans="1:2" s="55" customFormat="1">
      <c r="A174" s="75"/>
      <c r="B174" s="75"/>
    </row>
    <row r="175" spans="1:2" s="55" customFormat="1">
      <c r="A175" s="75"/>
      <c r="B175" s="75"/>
    </row>
    <row r="176" spans="1:2" s="55" customFormat="1">
      <c r="A176" s="75"/>
      <c r="B176" s="75"/>
    </row>
    <row r="177" spans="1:2" s="55" customFormat="1">
      <c r="A177" s="75"/>
      <c r="B177" s="75"/>
    </row>
    <row r="178" spans="1:2" s="55" customFormat="1">
      <c r="A178" s="75"/>
      <c r="B178" s="75"/>
    </row>
    <row r="179" spans="1:2" s="55" customFormat="1">
      <c r="A179" s="75"/>
      <c r="B179" s="75"/>
    </row>
    <row r="180" spans="1:2" s="55" customFormat="1">
      <c r="A180" s="75"/>
      <c r="B180" s="75"/>
    </row>
    <row r="181" spans="1:2" s="55" customFormat="1">
      <c r="A181" s="75"/>
      <c r="B181" s="75"/>
    </row>
    <row r="182" spans="1:2" s="55" customFormat="1">
      <c r="A182" s="75"/>
      <c r="B182" s="75"/>
    </row>
    <row r="183" spans="1:2" s="55" customFormat="1">
      <c r="A183" s="75"/>
      <c r="B183" s="75"/>
    </row>
    <row r="184" spans="1:2" s="55" customFormat="1">
      <c r="A184" s="75"/>
      <c r="B184" s="75"/>
    </row>
    <row r="185" spans="1:2" s="55" customFormat="1">
      <c r="A185" s="75"/>
      <c r="B185" s="75"/>
    </row>
    <row r="186" spans="1:2" s="55" customFormat="1">
      <c r="A186" s="75"/>
      <c r="B186" s="75"/>
    </row>
    <row r="187" spans="1:2" s="55" customFormat="1">
      <c r="A187" s="75"/>
      <c r="B187" s="75"/>
    </row>
    <row r="188" spans="1:2" s="55" customFormat="1">
      <c r="A188" s="75"/>
      <c r="B188" s="75"/>
    </row>
    <row r="189" spans="1:2" s="55" customFormat="1">
      <c r="A189" s="75"/>
      <c r="B189" s="75"/>
    </row>
    <row r="190" spans="1:2" s="55" customFormat="1">
      <c r="A190" s="75"/>
      <c r="B190" s="75"/>
    </row>
    <row r="191" spans="1:2" s="55" customFormat="1">
      <c r="A191" s="75"/>
      <c r="B191" s="75"/>
    </row>
    <row r="192" spans="1:2" s="55" customFormat="1">
      <c r="A192" s="75"/>
      <c r="B192" s="75"/>
    </row>
    <row r="193" spans="1:2" s="55" customFormat="1">
      <c r="A193" s="75"/>
      <c r="B193" s="75"/>
    </row>
    <row r="194" spans="1:2" s="55" customFormat="1">
      <c r="A194" s="75"/>
      <c r="B194" s="75"/>
    </row>
    <row r="195" spans="1:2" s="55" customFormat="1">
      <c r="A195" s="75"/>
      <c r="B195" s="75"/>
    </row>
    <row r="196" spans="1:2" s="55" customFormat="1">
      <c r="A196" s="75"/>
      <c r="B196" s="75"/>
    </row>
    <row r="197" spans="1:2" s="55" customFormat="1">
      <c r="A197" s="75"/>
      <c r="B197" s="75"/>
    </row>
    <row r="198" spans="1:2" s="55" customFormat="1">
      <c r="A198" s="75"/>
      <c r="B198" s="75"/>
    </row>
    <row r="199" spans="1:2" s="55" customFormat="1">
      <c r="A199" s="75"/>
      <c r="B199" s="75"/>
    </row>
    <row r="200" spans="1:2" s="55" customFormat="1">
      <c r="A200" s="75"/>
      <c r="B200" s="75"/>
    </row>
    <row r="201" spans="1:2" s="55" customFormat="1">
      <c r="A201" s="75"/>
      <c r="B201" s="75"/>
    </row>
    <row r="202" spans="1:2" s="55" customFormat="1">
      <c r="A202" s="75"/>
      <c r="B202" s="75"/>
    </row>
    <row r="203" spans="1:2" s="55" customFormat="1">
      <c r="A203" s="75"/>
      <c r="B203" s="75"/>
    </row>
    <row r="204" spans="1:2" s="55" customFormat="1">
      <c r="A204" s="75"/>
      <c r="B204" s="75"/>
    </row>
    <row r="205" spans="1:2" s="55" customFormat="1">
      <c r="A205" s="75"/>
      <c r="B205" s="75"/>
    </row>
    <row r="206" spans="1:2" s="55" customFormat="1">
      <c r="A206" s="75"/>
      <c r="B206" s="75"/>
    </row>
    <row r="207" spans="1:2" s="55" customFormat="1">
      <c r="A207" s="75"/>
      <c r="B207" s="75"/>
    </row>
    <row r="208" spans="1:2" s="55" customFormat="1">
      <c r="A208" s="75"/>
      <c r="B208" s="75"/>
    </row>
    <row r="209" spans="1:2" s="55" customFormat="1">
      <c r="A209" s="75"/>
      <c r="B209" s="75"/>
    </row>
    <row r="210" spans="1:2" s="55" customFormat="1">
      <c r="A210" s="75"/>
      <c r="B210" s="75"/>
    </row>
    <row r="211" spans="1:2" s="55" customFormat="1">
      <c r="A211" s="75"/>
      <c r="B211" s="75"/>
    </row>
    <row r="212" spans="1:2" s="55" customFormat="1">
      <c r="A212" s="75"/>
      <c r="B212" s="75"/>
    </row>
    <row r="213" spans="1:2" s="55" customFormat="1">
      <c r="A213" s="75"/>
      <c r="B213" s="75"/>
    </row>
    <row r="214" spans="1:2" s="55" customFormat="1">
      <c r="A214" s="75"/>
      <c r="B214" s="75"/>
    </row>
    <row r="215" spans="1:2" s="55" customFormat="1">
      <c r="A215" s="75"/>
      <c r="B215" s="75"/>
    </row>
    <row r="216" spans="1:2" s="55" customFormat="1">
      <c r="A216" s="75"/>
      <c r="B216" s="75"/>
    </row>
    <row r="217" spans="1:2" s="55" customFormat="1">
      <c r="A217" s="75"/>
      <c r="B217" s="75"/>
    </row>
    <row r="218" spans="1:2" s="55" customFormat="1">
      <c r="A218" s="75"/>
      <c r="B218" s="75"/>
    </row>
    <row r="219" spans="1:2" s="55" customFormat="1">
      <c r="A219" s="75"/>
      <c r="B219" s="75"/>
    </row>
    <row r="220" spans="1:2" s="55" customFormat="1">
      <c r="A220" s="75"/>
      <c r="B220" s="75"/>
    </row>
    <row r="221" spans="1:2" s="55" customFormat="1">
      <c r="A221" s="75"/>
      <c r="B221" s="75"/>
    </row>
    <row r="222" spans="1:2" s="55" customFormat="1">
      <c r="A222" s="75"/>
      <c r="B222" s="75"/>
    </row>
    <row r="223" spans="1:2" s="55" customFormat="1">
      <c r="A223" s="75"/>
      <c r="B223" s="75"/>
    </row>
    <row r="224" spans="1:2" s="55" customFormat="1">
      <c r="A224" s="75"/>
      <c r="B224" s="75"/>
    </row>
    <row r="225" spans="1:2" s="55" customFormat="1">
      <c r="A225" s="75"/>
      <c r="B225" s="75"/>
    </row>
    <row r="226" spans="1:2" s="55" customFormat="1">
      <c r="A226" s="75"/>
      <c r="B226" s="75"/>
    </row>
    <row r="227" spans="1:2" s="55" customFormat="1">
      <c r="A227" s="75"/>
      <c r="B227" s="75"/>
    </row>
    <row r="228" spans="1:2" s="55" customFormat="1">
      <c r="A228" s="75"/>
      <c r="B228" s="75"/>
    </row>
    <row r="229" spans="1:2" s="55" customFormat="1">
      <c r="A229" s="75"/>
      <c r="B229" s="75"/>
    </row>
    <row r="230" spans="1:2" s="55" customFormat="1">
      <c r="A230" s="75"/>
      <c r="B230" s="75"/>
    </row>
    <row r="231" spans="1:2" s="55" customFormat="1">
      <c r="A231" s="75"/>
      <c r="B231" s="75"/>
    </row>
    <row r="232" spans="1:2" s="55" customFormat="1">
      <c r="A232" s="75"/>
      <c r="B232" s="75"/>
    </row>
    <row r="233" spans="1:2" s="55" customFormat="1">
      <c r="A233" s="75"/>
      <c r="B233" s="75"/>
    </row>
    <row r="234" spans="1:2" s="55" customFormat="1">
      <c r="A234" s="75"/>
      <c r="B234" s="75"/>
    </row>
    <row r="235" spans="1:2" s="55" customFormat="1">
      <c r="A235" s="75"/>
      <c r="B235" s="75"/>
    </row>
    <row r="236" spans="1:2" s="55" customFormat="1">
      <c r="A236" s="75"/>
      <c r="B236" s="75"/>
    </row>
    <row r="237" spans="1:2" s="55" customFormat="1">
      <c r="A237" s="75"/>
      <c r="B237" s="75"/>
    </row>
    <row r="238" spans="1:2" s="55" customFormat="1">
      <c r="A238" s="75"/>
      <c r="B238" s="75"/>
    </row>
    <row r="239" spans="1:2" s="55" customFormat="1">
      <c r="A239" s="75"/>
      <c r="B239" s="75"/>
    </row>
    <row r="240" spans="1:2" s="55" customFormat="1">
      <c r="A240" s="75"/>
      <c r="B240" s="75"/>
    </row>
    <row r="241" spans="1:2" s="55" customFormat="1">
      <c r="A241" s="75"/>
      <c r="B241" s="75"/>
    </row>
    <row r="242" spans="1:2" s="55" customFormat="1">
      <c r="A242" s="75"/>
      <c r="B242" s="75"/>
    </row>
    <row r="243" spans="1:2" s="55" customFormat="1">
      <c r="A243" s="75"/>
      <c r="B243" s="75"/>
    </row>
    <row r="244" spans="1:2" s="55" customFormat="1">
      <c r="A244" s="75"/>
      <c r="B244" s="75"/>
    </row>
    <row r="245" spans="1:2" s="55" customFormat="1">
      <c r="A245" s="75"/>
      <c r="B245" s="75"/>
    </row>
    <row r="246" spans="1:2" s="55" customFormat="1">
      <c r="A246" s="75"/>
      <c r="B246" s="75"/>
    </row>
    <row r="247" spans="1:2" s="55" customFormat="1">
      <c r="A247" s="75"/>
      <c r="B247" s="75"/>
    </row>
    <row r="248" spans="1:2" s="55" customFormat="1">
      <c r="A248" s="75"/>
      <c r="B248" s="75"/>
    </row>
    <row r="249" spans="1:2" s="55" customFormat="1">
      <c r="A249" s="75"/>
      <c r="B249" s="75"/>
    </row>
    <row r="250" spans="1:2" s="55" customFormat="1">
      <c r="A250" s="75"/>
      <c r="B250" s="75"/>
    </row>
    <row r="251" spans="1:2" s="55" customFormat="1">
      <c r="A251" s="75"/>
      <c r="B251" s="75"/>
    </row>
    <row r="252" spans="1:2" s="55" customFormat="1">
      <c r="A252" s="75"/>
      <c r="B252" s="75"/>
    </row>
    <row r="253" spans="1:2" s="55" customFormat="1">
      <c r="A253" s="75"/>
      <c r="B253" s="75"/>
    </row>
    <row r="254" spans="1:2" s="55" customFormat="1">
      <c r="A254" s="75"/>
      <c r="B254" s="75"/>
    </row>
    <row r="255" spans="1:2" s="55" customFormat="1">
      <c r="A255" s="75"/>
      <c r="B255" s="75"/>
    </row>
    <row r="256" spans="1:2" s="55" customFormat="1">
      <c r="A256" s="75"/>
      <c r="B256" s="75"/>
    </row>
    <row r="257" spans="1:2" s="55" customFormat="1">
      <c r="A257" s="75"/>
      <c r="B257" s="75"/>
    </row>
    <row r="258" spans="1:2" s="55" customFormat="1">
      <c r="A258" s="75"/>
      <c r="B258" s="75"/>
    </row>
    <row r="259" spans="1:2" s="55" customFormat="1">
      <c r="A259" s="75"/>
      <c r="B259" s="75"/>
    </row>
    <row r="260" spans="1:2" s="55" customFormat="1">
      <c r="A260" s="75"/>
      <c r="B260" s="75"/>
    </row>
    <row r="261" spans="1:2" s="55" customFormat="1">
      <c r="A261" s="75"/>
      <c r="B261" s="75"/>
    </row>
    <row r="262" spans="1:2" s="55" customFormat="1">
      <c r="A262" s="75"/>
      <c r="B262" s="75"/>
    </row>
    <row r="263" spans="1:2" s="55" customFormat="1">
      <c r="A263" s="75"/>
      <c r="B263" s="75"/>
    </row>
    <row r="264" spans="1:2" s="55" customFormat="1">
      <c r="A264" s="75"/>
      <c r="B264" s="75"/>
    </row>
    <row r="265" spans="1:2" s="55" customFormat="1">
      <c r="A265" s="75"/>
      <c r="B265" s="75"/>
    </row>
    <row r="266" spans="1:2" s="55" customFormat="1">
      <c r="A266" s="75"/>
      <c r="B266" s="75"/>
    </row>
    <row r="267" spans="1:2" s="55" customFormat="1">
      <c r="A267" s="75"/>
      <c r="B267" s="75"/>
    </row>
    <row r="268" spans="1:2" s="55" customFormat="1">
      <c r="A268" s="75"/>
      <c r="B268" s="75"/>
    </row>
    <row r="269" spans="1:2" s="55" customFormat="1">
      <c r="A269" s="75"/>
      <c r="B269" s="75"/>
    </row>
    <row r="270" spans="1:2" s="55" customFormat="1">
      <c r="A270" s="75"/>
      <c r="B270" s="75"/>
    </row>
    <row r="271" spans="1:2" s="55" customFormat="1">
      <c r="A271" s="75"/>
      <c r="B271" s="75"/>
    </row>
    <row r="272" spans="1:2" s="55" customFormat="1">
      <c r="A272" s="75"/>
      <c r="B272" s="75"/>
    </row>
    <row r="273" spans="1:2" s="55" customFormat="1">
      <c r="A273" s="75"/>
      <c r="B273" s="75"/>
    </row>
    <row r="274" spans="1:2" s="55" customFormat="1">
      <c r="A274" s="75"/>
      <c r="B274" s="75"/>
    </row>
    <row r="275" spans="1:2" s="55" customFormat="1">
      <c r="A275" s="75"/>
      <c r="B275" s="75"/>
    </row>
    <row r="276" spans="1:2" s="55" customFormat="1">
      <c r="A276" s="75"/>
      <c r="B276" s="75"/>
    </row>
    <row r="277" spans="1:2" s="55" customFormat="1">
      <c r="A277" s="75"/>
      <c r="B277" s="75"/>
    </row>
    <row r="278" spans="1:2" s="55" customFormat="1">
      <c r="A278" s="75"/>
      <c r="B278" s="75"/>
    </row>
    <row r="279" spans="1:2" s="55" customFormat="1">
      <c r="A279" s="75"/>
      <c r="B279" s="75"/>
    </row>
    <row r="280" spans="1:2" s="55" customFormat="1">
      <c r="A280" s="75"/>
      <c r="B280" s="75"/>
    </row>
    <row r="281" spans="1:2" s="55" customFormat="1">
      <c r="A281" s="75"/>
      <c r="B281" s="75"/>
    </row>
    <row r="282" spans="1:2" s="55" customFormat="1">
      <c r="A282" s="75"/>
      <c r="B282" s="75"/>
    </row>
    <row r="283" spans="1:2" s="55" customFormat="1">
      <c r="A283" s="75"/>
      <c r="B283" s="75"/>
    </row>
    <row r="284" spans="1:2" s="55" customFormat="1">
      <c r="A284" s="75"/>
      <c r="B284" s="75"/>
    </row>
    <row r="285" spans="1:2" s="55" customFormat="1">
      <c r="A285" s="75"/>
      <c r="B285" s="75"/>
    </row>
    <row r="286" spans="1:2" s="55" customFormat="1">
      <c r="A286" s="75"/>
      <c r="B286" s="75"/>
    </row>
    <row r="287" spans="1:2" s="55" customFormat="1">
      <c r="A287" s="75"/>
      <c r="B287" s="75"/>
    </row>
    <row r="288" spans="1:2" s="55" customFormat="1">
      <c r="A288" s="75"/>
      <c r="B288" s="75"/>
    </row>
    <row r="289" spans="1:2" s="55" customFormat="1">
      <c r="A289" s="75"/>
      <c r="B289" s="75"/>
    </row>
    <row r="290" spans="1:2" s="55" customFormat="1">
      <c r="A290" s="75"/>
      <c r="B290" s="75"/>
    </row>
    <row r="291" spans="1:2" s="55" customFormat="1">
      <c r="A291" s="75"/>
      <c r="B291" s="75"/>
    </row>
    <row r="292" spans="1:2" s="55" customFormat="1">
      <c r="A292" s="75"/>
      <c r="B292" s="75"/>
    </row>
    <row r="293" spans="1:2" s="55" customFormat="1">
      <c r="A293" s="75"/>
      <c r="B293" s="75"/>
    </row>
    <row r="294" spans="1:2" s="55" customFormat="1">
      <c r="A294" s="75"/>
      <c r="B294" s="75"/>
    </row>
    <row r="295" spans="1:2" s="55" customFormat="1">
      <c r="A295" s="75"/>
      <c r="B295" s="75"/>
    </row>
    <row r="296" spans="1:2" s="55" customFormat="1">
      <c r="A296" s="75"/>
      <c r="B296" s="75"/>
    </row>
    <row r="297" spans="1:2" s="55" customFormat="1">
      <c r="A297" s="75"/>
      <c r="B297" s="75"/>
    </row>
    <row r="298" spans="1:2" s="55" customFormat="1">
      <c r="A298" s="75"/>
      <c r="B298" s="75"/>
    </row>
    <row r="299" spans="1:2" s="55" customFormat="1">
      <c r="A299" s="75"/>
      <c r="B299" s="75"/>
    </row>
    <row r="300" spans="1:2" s="55" customFormat="1">
      <c r="A300" s="75"/>
      <c r="B300" s="75"/>
    </row>
    <row r="301" spans="1:2" s="55" customFormat="1">
      <c r="A301" s="75"/>
      <c r="B301" s="75"/>
    </row>
    <row r="302" spans="1:2" s="55" customFormat="1">
      <c r="A302" s="75"/>
      <c r="B302" s="75"/>
    </row>
    <row r="303" spans="1:2" s="55" customFormat="1">
      <c r="A303" s="75"/>
      <c r="B303" s="75"/>
    </row>
    <row r="304" spans="1:2" s="55" customFormat="1">
      <c r="A304" s="75"/>
      <c r="B304" s="75"/>
    </row>
    <row r="305" spans="1:2" s="55" customFormat="1">
      <c r="A305" s="75"/>
      <c r="B305" s="75"/>
    </row>
    <row r="306" spans="1:2" s="55" customFormat="1">
      <c r="A306" s="75"/>
      <c r="B306" s="75"/>
    </row>
    <row r="307" spans="1:2" s="55" customFormat="1">
      <c r="A307" s="75"/>
      <c r="B307" s="75"/>
    </row>
    <row r="308" spans="1:2" s="55" customFormat="1">
      <c r="A308" s="75"/>
      <c r="B308" s="75"/>
    </row>
    <row r="309" spans="1:2" s="55" customFormat="1">
      <c r="A309" s="75"/>
      <c r="B309" s="75"/>
    </row>
    <row r="310" spans="1:2" s="55" customFormat="1">
      <c r="A310" s="75"/>
      <c r="B310" s="75"/>
    </row>
    <row r="311" spans="1:2" s="55" customFormat="1">
      <c r="A311" s="75"/>
      <c r="B311" s="75"/>
    </row>
    <row r="312" spans="1:2" s="55" customFormat="1">
      <c r="A312" s="75"/>
      <c r="B312" s="75"/>
    </row>
    <row r="313" spans="1:2" s="55" customFormat="1">
      <c r="A313" s="75"/>
      <c r="B313" s="75"/>
    </row>
    <row r="314" spans="1:2" s="55" customFormat="1">
      <c r="A314" s="75"/>
      <c r="B314" s="75"/>
    </row>
    <row r="315" spans="1:2" s="55" customFormat="1">
      <c r="A315" s="75"/>
      <c r="B315" s="75"/>
    </row>
    <row r="316" spans="1:2" s="55" customFormat="1">
      <c r="A316" s="75"/>
      <c r="B316" s="75"/>
    </row>
    <row r="317" spans="1:2" s="55" customFormat="1">
      <c r="A317" s="75"/>
      <c r="B317" s="75"/>
    </row>
    <row r="318" spans="1:2" s="55" customFormat="1">
      <c r="A318" s="75"/>
      <c r="B318" s="75"/>
    </row>
    <row r="319" spans="1:2" s="55" customFormat="1">
      <c r="A319" s="75"/>
      <c r="B319" s="75"/>
    </row>
    <row r="320" spans="1:2" s="55" customFormat="1">
      <c r="A320" s="75"/>
      <c r="B320" s="75"/>
    </row>
    <row r="321" spans="1:2" s="55" customFormat="1">
      <c r="A321" s="75"/>
      <c r="B321" s="75"/>
    </row>
    <row r="322" spans="1:2" s="55" customFormat="1">
      <c r="A322" s="75"/>
      <c r="B322" s="75"/>
    </row>
    <row r="323" spans="1:2" s="55" customFormat="1">
      <c r="A323" s="75"/>
      <c r="B323" s="75"/>
    </row>
    <row r="324" spans="1:2" s="55" customFormat="1">
      <c r="A324" s="75"/>
      <c r="B324" s="75"/>
    </row>
    <row r="325" spans="1:2" s="55" customFormat="1">
      <c r="A325" s="75"/>
      <c r="B325" s="75"/>
    </row>
    <row r="326" spans="1:2" s="55" customFormat="1">
      <c r="A326" s="75"/>
      <c r="B326" s="75"/>
    </row>
    <row r="327" spans="1:2" s="55" customFormat="1">
      <c r="A327" s="75"/>
      <c r="B327" s="75"/>
    </row>
    <row r="328" spans="1:2" s="55" customFormat="1">
      <c r="A328" s="75"/>
      <c r="B328" s="75"/>
    </row>
    <row r="329" spans="1:2" s="55" customFormat="1">
      <c r="A329" s="75"/>
      <c r="B329" s="75"/>
    </row>
    <row r="330" spans="1:2" s="55" customFormat="1">
      <c r="A330" s="75"/>
      <c r="B330" s="75"/>
    </row>
    <row r="331" spans="1:2" s="55" customFormat="1">
      <c r="A331" s="75"/>
      <c r="B331" s="75"/>
    </row>
    <row r="332" spans="1:2" s="55" customFormat="1">
      <c r="A332" s="75"/>
      <c r="B332" s="75"/>
    </row>
    <row r="333" spans="1:2" s="55" customFormat="1">
      <c r="A333" s="75"/>
      <c r="B333" s="75"/>
    </row>
    <row r="334" spans="1:2" s="55" customFormat="1">
      <c r="A334" s="75"/>
      <c r="B334" s="75"/>
    </row>
    <row r="335" spans="1:2" s="55" customFormat="1">
      <c r="A335" s="75"/>
      <c r="B335" s="75"/>
    </row>
    <row r="336" spans="1:2" s="55" customFormat="1">
      <c r="A336" s="75"/>
      <c r="B336" s="75"/>
    </row>
    <row r="337" spans="1:2" s="55" customFormat="1">
      <c r="A337" s="75"/>
      <c r="B337" s="75"/>
    </row>
    <row r="338" spans="1:2" s="55" customFormat="1">
      <c r="A338" s="75"/>
      <c r="B338" s="75"/>
    </row>
    <row r="339" spans="1:2" s="55" customFormat="1">
      <c r="A339" s="75"/>
      <c r="B339" s="75"/>
    </row>
    <row r="340" spans="1:2" s="55" customFormat="1">
      <c r="A340" s="75"/>
      <c r="B340" s="75"/>
    </row>
    <row r="341" spans="1:2" s="55" customFormat="1">
      <c r="A341" s="75"/>
      <c r="B341" s="75"/>
    </row>
    <row r="342" spans="1:2" s="55" customFormat="1">
      <c r="A342" s="75"/>
      <c r="B342" s="75"/>
    </row>
    <row r="343" spans="1:2" s="55" customFormat="1">
      <c r="A343" s="75"/>
      <c r="B343" s="75"/>
    </row>
    <row r="344" spans="1:2" s="55" customFormat="1">
      <c r="A344" s="75"/>
      <c r="B344" s="75"/>
    </row>
    <row r="345" spans="1:2" s="55" customFormat="1">
      <c r="A345" s="75"/>
      <c r="B345" s="75"/>
    </row>
    <row r="346" spans="1:2" s="55" customFormat="1">
      <c r="A346" s="75"/>
      <c r="B346" s="75"/>
    </row>
    <row r="347" spans="1:2" s="55" customFormat="1">
      <c r="A347" s="75"/>
      <c r="B347" s="75"/>
    </row>
    <row r="348" spans="1:2" s="55" customFormat="1">
      <c r="A348" s="75"/>
      <c r="B348" s="75"/>
    </row>
    <row r="349" spans="1:2" s="55" customFormat="1">
      <c r="A349" s="75"/>
      <c r="B349" s="75"/>
    </row>
    <row r="350" spans="1:2" s="55" customFormat="1">
      <c r="A350" s="75"/>
      <c r="B350" s="75"/>
    </row>
    <row r="351" spans="1:2" s="55" customFormat="1">
      <c r="A351" s="75"/>
      <c r="B351" s="75"/>
    </row>
    <row r="352" spans="1:2" s="55" customFormat="1">
      <c r="A352" s="75"/>
      <c r="B352" s="75"/>
    </row>
    <row r="353" spans="1:2" s="55" customFormat="1">
      <c r="A353" s="75"/>
      <c r="B353" s="75"/>
    </row>
    <row r="354" spans="1:2" s="55" customFormat="1">
      <c r="A354" s="75"/>
      <c r="B354" s="75"/>
    </row>
    <row r="355" spans="1:2" s="55" customFormat="1">
      <c r="A355" s="75"/>
      <c r="B355" s="75"/>
    </row>
    <row r="356" spans="1:2" s="55" customFormat="1">
      <c r="A356" s="75"/>
      <c r="B356" s="75"/>
    </row>
    <row r="357" spans="1:2" s="55" customFormat="1">
      <c r="A357" s="75"/>
      <c r="B357" s="75"/>
    </row>
    <row r="358" spans="1:2" s="55" customFormat="1">
      <c r="A358" s="75"/>
      <c r="B358" s="75"/>
    </row>
    <row r="359" spans="1:2" s="55" customFormat="1">
      <c r="A359" s="75"/>
      <c r="B359" s="75"/>
    </row>
    <row r="360" spans="1:2" s="55" customFormat="1">
      <c r="A360" s="75"/>
      <c r="B360" s="75"/>
    </row>
    <row r="361" spans="1:2" s="55" customFormat="1">
      <c r="A361" s="75"/>
      <c r="B361" s="75"/>
    </row>
    <row r="362" spans="1:2" s="55" customFormat="1">
      <c r="A362" s="75"/>
      <c r="B362" s="75"/>
    </row>
    <row r="363" spans="1:2" s="55" customFormat="1">
      <c r="A363" s="75"/>
      <c r="B363" s="75"/>
    </row>
    <row r="364" spans="1:2" s="55" customFormat="1">
      <c r="A364" s="75"/>
      <c r="B364" s="75"/>
    </row>
    <row r="365" spans="1:2" s="55" customFormat="1">
      <c r="A365" s="75"/>
      <c r="B365" s="75"/>
    </row>
    <row r="366" spans="1:2" s="55" customFormat="1">
      <c r="A366" s="75"/>
      <c r="B366" s="75"/>
    </row>
    <row r="367" spans="1:2" s="55" customFormat="1">
      <c r="A367" s="75"/>
      <c r="B367" s="75"/>
    </row>
    <row r="368" spans="1:2" s="55" customFormat="1">
      <c r="A368" s="75"/>
      <c r="B368" s="75"/>
    </row>
    <row r="369" spans="1:2" s="55" customFormat="1">
      <c r="A369" s="75"/>
      <c r="B369" s="75"/>
    </row>
    <row r="370" spans="1:2" s="55" customFormat="1">
      <c r="A370" s="75"/>
      <c r="B370" s="75"/>
    </row>
    <row r="371" spans="1:2" s="55" customFormat="1">
      <c r="A371" s="75"/>
      <c r="B371" s="75"/>
    </row>
    <row r="372" spans="1:2" s="55" customFormat="1">
      <c r="A372" s="75"/>
      <c r="B372" s="75"/>
    </row>
    <row r="373" spans="1:2" s="55" customFormat="1">
      <c r="A373" s="75"/>
      <c r="B373" s="75"/>
    </row>
    <row r="374" spans="1:2" s="55" customFormat="1">
      <c r="A374" s="75"/>
      <c r="B374" s="75"/>
    </row>
    <row r="375" spans="1:2" s="55" customFormat="1">
      <c r="A375" s="75"/>
      <c r="B375" s="75"/>
    </row>
    <row r="376" spans="1:2" s="55" customFormat="1">
      <c r="A376" s="75"/>
      <c r="B376" s="75"/>
    </row>
    <row r="377" spans="1:2" s="55" customFormat="1">
      <c r="A377" s="75"/>
      <c r="B377" s="75"/>
    </row>
    <row r="378" spans="1:2" s="55" customFormat="1">
      <c r="A378" s="75"/>
      <c r="B378" s="75"/>
    </row>
    <row r="379" spans="1:2" s="55" customFormat="1">
      <c r="A379" s="75"/>
      <c r="B379" s="75"/>
    </row>
    <row r="380" spans="1:2" s="55" customFormat="1">
      <c r="A380" s="75"/>
      <c r="B380" s="75"/>
    </row>
    <row r="381" spans="1:2" s="55" customFormat="1">
      <c r="A381" s="75"/>
      <c r="B381" s="75"/>
    </row>
    <row r="382" spans="1:2" s="55" customFormat="1">
      <c r="A382" s="75"/>
      <c r="B382" s="75"/>
    </row>
    <row r="383" spans="1:2" s="55" customFormat="1">
      <c r="A383" s="75"/>
      <c r="B383" s="75"/>
    </row>
    <row r="384" spans="1:2" s="55" customFormat="1">
      <c r="A384" s="75"/>
      <c r="B384" s="75"/>
    </row>
    <row r="385" spans="1:2" s="55" customFormat="1">
      <c r="A385" s="75"/>
      <c r="B385" s="75"/>
    </row>
    <row r="386" spans="1:2" s="55" customFormat="1">
      <c r="A386" s="75"/>
      <c r="B386" s="75"/>
    </row>
    <row r="387" spans="1:2" s="55" customFormat="1">
      <c r="A387" s="75"/>
      <c r="B387" s="75"/>
    </row>
    <row r="388" spans="1:2" s="55" customFormat="1">
      <c r="A388" s="75"/>
      <c r="B388" s="75"/>
    </row>
    <row r="389" spans="1:2" s="55" customFormat="1">
      <c r="A389" s="75"/>
      <c r="B389" s="75"/>
    </row>
    <row r="390" spans="1:2" s="55" customFormat="1">
      <c r="A390" s="75"/>
      <c r="B390" s="75"/>
    </row>
    <row r="391" spans="1:2" s="55" customFormat="1">
      <c r="A391" s="75"/>
      <c r="B391" s="75"/>
    </row>
    <row r="392" spans="1:2" s="55" customFormat="1">
      <c r="A392" s="75"/>
      <c r="B392" s="75"/>
    </row>
    <row r="393" spans="1:2" s="55" customFormat="1">
      <c r="A393" s="75"/>
      <c r="B393" s="75"/>
    </row>
    <row r="394" spans="1:2" s="55" customFormat="1">
      <c r="A394" s="75"/>
      <c r="B394" s="75"/>
    </row>
    <row r="395" spans="1:2" s="55" customFormat="1">
      <c r="A395" s="75"/>
      <c r="B395" s="75"/>
    </row>
    <row r="396" spans="1:2" s="55" customFormat="1">
      <c r="A396" s="75"/>
      <c r="B396" s="75"/>
    </row>
    <row r="397" spans="1:2" s="55" customFormat="1">
      <c r="A397" s="75"/>
      <c r="B397" s="75"/>
    </row>
    <row r="398" spans="1:2" s="55" customFormat="1">
      <c r="A398" s="75"/>
      <c r="B398" s="75"/>
    </row>
    <row r="399" spans="1:2" s="55" customFormat="1">
      <c r="A399" s="75"/>
      <c r="B399" s="75"/>
    </row>
    <row r="400" spans="1:2" s="55" customFormat="1">
      <c r="A400" s="75"/>
      <c r="B400" s="75"/>
    </row>
    <row r="401" spans="1:2" s="55" customFormat="1">
      <c r="A401" s="75"/>
      <c r="B401" s="75"/>
    </row>
    <row r="402" spans="1:2" s="55" customFormat="1">
      <c r="A402" s="75"/>
      <c r="B402" s="75"/>
    </row>
    <row r="403" spans="1:2" s="55" customFormat="1">
      <c r="A403" s="75"/>
      <c r="B403" s="75"/>
    </row>
    <row r="404" spans="1:2" s="55" customFormat="1">
      <c r="A404" s="75"/>
      <c r="B404" s="75"/>
    </row>
    <row r="405" spans="1:2" s="55" customFormat="1">
      <c r="A405" s="75"/>
      <c r="B405" s="75"/>
    </row>
    <row r="406" spans="1:2" s="55" customFormat="1">
      <c r="A406" s="75"/>
      <c r="B406" s="75"/>
    </row>
    <row r="407" spans="1:2" s="55" customFormat="1">
      <c r="A407" s="75"/>
      <c r="B407" s="75"/>
    </row>
    <row r="408" spans="1:2" s="55" customFormat="1">
      <c r="A408" s="75"/>
      <c r="B408" s="75"/>
    </row>
    <row r="409" spans="1:2" s="55" customFormat="1">
      <c r="A409" s="75"/>
      <c r="B409" s="75"/>
    </row>
    <row r="410" spans="1:2" s="55" customFormat="1">
      <c r="A410" s="75"/>
      <c r="B410" s="75"/>
    </row>
    <row r="411" spans="1:2" s="55" customFormat="1">
      <c r="A411" s="75"/>
      <c r="B411" s="75"/>
    </row>
    <row r="412" spans="1:2" s="55" customFormat="1">
      <c r="A412" s="75"/>
      <c r="B412" s="75"/>
    </row>
    <row r="413" spans="1:2" s="55" customFormat="1">
      <c r="A413" s="75"/>
      <c r="B413" s="75"/>
    </row>
    <row r="414" spans="1:2" s="55" customFormat="1">
      <c r="A414" s="75"/>
      <c r="B414" s="75"/>
    </row>
    <row r="415" spans="1:2" s="55" customFormat="1">
      <c r="A415" s="75"/>
      <c r="B415" s="75"/>
    </row>
    <row r="416" spans="1:2" s="55" customFormat="1">
      <c r="A416" s="75"/>
      <c r="B416" s="75"/>
    </row>
    <row r="417" spans="1:2" s="55" customFormat="1">
      <c r="A417" s="75"/>
      <c r="B417" s="75"/>
    </row>
    <row r="418" spans="1:2" s="55" customFormat="1">
      <c r="A418" s="75"/>
      <c r="B418" s="75"/>
    </row>
    <row r="419" spans="1:2" s="55" customFormat="1">
      <c r="A419" s="75"/>
      <c r="B419" s="75"/>
    </row>
    <row r="420" spans="1:2" s="55" customFormat="1">
      <c r="A420" s="75"/>
      <c r="B420" s="75"/>
    </row>
    <row r="421" spans="1:2" s="55" customFormat="1">
      <c r="A421" s="75"/>
      <c r="B421" s="75"/>
    </row>
    <row r="422" spans="1:2" s="55" customFormat="1">
      <c r="A422" s="75"/>
      <c r="B422" s="75"/>
    </row>
    <row r="423" spans="1:2" s="55" customFormat="1">
      <c r="A423" s="75"/>
      <c r="B423" s="75"/>
    </row>
    <row r="424" spans="1:2" s="55" customFormat="1">
      <c r="A424" s="75"/>
      <c r="B424" s="75"/>
    </row>
    <row r="425" spans="1:2" s="55" customFormat="1">
      <c r="A425" s="75"/>
      <c r="B425" s="75"/>
    </row>
    <row r="426" spans="1:2" s="55" customFormat="1">
      <c r="A426" s="75"/>
      <c r="B426" s="75"/>
    </row>
    <row r="427" spans="1:2" s="55" customFormat="1">
      <c r="A427" s="75"/>
      <c r="B427" s="75"/>
    </row>
    <row r="428" spans="1:2" s="55" customFormat="1">
      <c r="A428" s="75"/>
      <c r="B428" s="75"/>
    </row>
    <row r="429" spans="1:2" s="55" customFormat="1">
      <c r="A429" s="75"/>
      <c r="B429" s="75"/>
    </row>
    <row r="430" spans="1:2" s="55" customFormat="1">
      <c r="A430" s="75"/>
      <c r="B430" s="75"/>
    </row>
    <row r="431" spans="1:2" s="55" customFormat="1">
      <c r="A431" s="75"/>
      <c r="B431" s="75"/>
    </row>
    <row r="432" spans="1:2" s="55" customFormat="1">
      <c r="A432" s="75"/>
      <c r="B432" s="75"/>
    </row>
    <row r="433" spans="1:2" s="55" customFormat="1">
      <c r="A433" s="75"/>
      <c r="B433" s="75"/>
    </row>
    <row r="434" spans="1:2" s="55" customFormat="1">
      <c r="A434" s="75"/>
      <c r="B434" s="75"/>
    </row>
    <row r="435" spans="1:2" s="55" customFormat="1">
      <c r="A435" s="75"/>
      <c r="B435" s="75"/>
    </row>
    <row r="436" spans="1:2" s="55" customFormat="1">
      <c r="A436" s="75"/>
      <c r="B436" s="75"/>
    </row>
    <row r="437" spans="1:2" s="55" customFormat="1">
      <c r="A437" s="75"/>
      <c r="B437" s="75"/>
    </row>
    <row r="438" spans="1:2" s="55" customFormat="1">
      <c r="A438" s="75"/>
      <c r="B438" s="75"/>
    </row>
    <row r="439" spans="1:2" s="55" customFormat="1">
      <c r="A439" s="75"/>
      <c r="B439" s="75"/>
    </row>
    <row r="440" spans="1:2" s="55" customFormat="1">
      <c r="A440" s="75"/>
      <c r="B440" s="75"/>
    </row>
    <row r="441" spans="1:2" s="55" customFormat="1">
      <c r="A441" s="75"/>
      <c r="B441" s="75"/>
    </row>
    <row r="442" spans="1:2" s="55" customFormat="1">
      <c r="A442" s="75"/>
      <c r="B442" s="75"/>
    </row>
    <row r="443" spans="1:2" s="55" customFormat="1">
      <c r="A443" s="75"/>
      <c r="B443" s="75"/>
    </row>
    <row r="444" spans="1:2" s="55" customFormat="1">
      <c r="A444" s="75"/>
      <c r="B444" s="75"/>
    </row>
    <row r="445" spans="1:2" s="55" customFormat="1">
      <c r="A445" s="75"/>
      <c r="B445" s="75"/>
    </row>
    <row r="446" spans="1:2" s="55" customFormat="1">
      <c r="A446" s="75"/>
      <c r="B446" s="75"/>
    </row>
    <row r="447" spans="1:2" s="55" customFormat="1">
      <c r="A447" s="75"/>
      <c r="B447" s="75"/>
    </row>
    <row r="448" spans="1:2" s="55" customFormat="1">
      <c r="A448" s="75"/>
      <c r="B448" s="75"/>
    </row>
    <row r="449" spans="1:2" s="55" customFormat="1">
      <c r="A449" s="75"/>
      <c r="B449" s="75"/>
    </row>
    <row r="450" spans="1:2" s="55" customFormat="1">
      <c r="A450" s="75"/>
      <c r="B450" s="75"/>
    </row>
    <row r="451" spans="1:2" s="55" customFormat="1">
      <c r="A451" s="75"/>
      <c r="B451" s="75"/>
    </row>
    <row r="452" spans="1:2" s="55" customFormat="1">
      <c r="A452" s="75"/>
      <c r="B452" s="75"/>
    </row>
    <row r="453" spans="1:2" s="55" customFormat="1">
      <c r="A453" s="75"/>
      <c r="B453" s="75"/>
    </row>
    <row r="454" spans="1:2" s="55" customFormat="1">
      <c r="A454" s="75"/>
      <c r="B454" s="75"/>
    </row>
    <row r="455" spans="1:2" s="55" customFormat="1">
      <c r="A455" s="75"/>
      <c r="B455" s="75"/>
    </row>
    <row r="456" spans="1:2" s="55" customFormat="1">
      <c r="A456" s="75"/>
      <c r="B456" s="75"/>
    </row>
    <row r="457" spans="1:2" s="55" customFormat="1">
      <c r="A457" s="75"/>
      <c r="B457" s="75"/>
    </row>
    <row r="458" spans="1:2" s="55" customFormat="1">
      <c r="A458" s="75"/>
      <c r="B458" s="75"/>
    </row>
    <row r="459" spans="1:2" s="55" customFormat="1">
      <c r="A459" s="75"/>
      <c r="B459" s="75"/>
    </row>
    <row r="460" spans="1:2" s="55" customFormat="1">
      <c r="A460" s="75"/>
      <c r="B460" s="75"/>
    </row>
    <row r="461" spans="1:2" s="55" customFormat="1">
      <c r="A461" s="75"/>
      <c r="B461" s="75"/>
    </row>
    <row r="462" spans="1:2" s="55" customFormat="1">
      <c r="A462" s="75"/>
      <c r="B462" s="75"/>
    </row>
    <row r="463" spans="1:2" s="55" customFormat="1">
      <c r="A463" s="75"/>
      <c r="B463" s="75"/>
    </row>
    <row r="464" spans="1:2" s="55" customFormat="1">
      <c r="A464" s="75"/>
      <c r="B464" s="75"/>
    </row>
    <row r="465" spans="1:2" s="55" customFormat="1">
      <c r="A465" s="75"/>
      <c r="B465" s="75"/>
    </row>
    <row r="466" spans="1:2" s="55" customFormat="1">
      <c r="A466" s="75"/>
      <c r="B466" s="75"/>
    </row>
    <row r="467" spans="1:2" s="55" customFormat="1">
      <c r="A467" s="75"/>
      <c r="B467" s="75"/>
    </row>
    <row r="468" spans="1:2" s="55" customFormat="1">
      <c r="A468" s="75"/>
      <c r="B468" s="75"/>
    </row>
    <row r="469" spans="1:2" s="55" customFormat="1">
      <c r="A469" s="75"/>
      <c r="B469" s="75"/>
    </row>
    <row r="470" spans="1:2" s="55" customFormat="1">
      <c r="A470" s="75"/>
      <c r="B470" s="75"/>
    </row>
    <row r="471" spans="1:2" s="55" customFormat="1">
      <c r="A471" s="75"/>
      <c r="B471" s="75"/>
    </row>
    <row r="472" spans="1:2" s="55" customFormat="1">
      <c r="A472" s="75"/>
      <c r="B472" s="75"/>
    </row>
    <row r="473" spans="1:2" s="55" customFormat="1">
      <c r="A473" s="75"/>
      <c r="B473" s="75"/>
    </row>
    <row r="474" spans="1:2" s="55" customFormat="1">
      <c r="A474" s="75"/>
      <c r="B474" s="75"/>
    </row>
    <row r="475" spans="1:2" s="55" customFormat="1">
      <c r="A475" s="75"/>
      <c r="B475" s="75"/>
    </row>
    <row r="476" spans="1:2" s="55" customFormat="1">
      <c r="A476" s="75"/>
      <c r="B476" s="75"/>
    </row>
    <row r="477" spans="1:2" s="55" customFormat="1">
      <c r="A477" s="75"/>
      <c r="B477" s="75"/>
    </row>
    <row r="478" spans="1:2" s="55" customFormat="1">
      <c r="A478" s="75"/>
      <c r="B478" s="75"/>
    </row>
    <row r="479" spans="1:2" s="55" customFormat="1">
      <c r="A479" s="75"/>
      <c r="B479" s="75"/>
    </row>
    <row r="480" spans="1:2" s="55" customFormat="1">
      <c r="A480" s="75"/>
      <c r="B480" s="75"/>
    </row>
    <row r="481" spans="1:2" s="55" customFormat="1">
      <c r="A481" s="75"/>
      <c r="B481" s="75"/>
    </row>
    <row r="482" spans="1:2" s="55" customFormat="1">
      <c r="A482" s="75"/>
      <c r="B482" s="75"/>
    </row>
    <row r="483" spans="1:2" s="55" customFormat="1">
      <c r="A483" s="75"/>
      <c r="B483" s="75"/>
    </row>
    <row r="484" spans="1:2" s="55" customFormat="1">
      <c r="A484" s="75"/>
      <c r="B484" s="75"/>
    </row>
    <row r="485" spans="1:2" s="55" customFormat="1">
      <c r="A485" s="75"/>
      <c r="B485" s="75"/>
    </row>
    <row r="486" spans="1:2" s="55" customFormat="1">
      <c r="A486" s="75"/>
      <c r="B486" s="75"/>
    </row>
    <row r="487" spans="1:2" s="55" customFormat="1">
      <c r="A487" s="75"/>
      <c r="B487" s="75"/>
    </row>
    <row r="488" spans="1:2" s="55" customFormat="1">
      <c r="A488" s="75"/>
      <c r="B488" s="75"/>
    </row>
    <row r="489" spans="1:2" s="55" customFormat="1">
      <c r="A489" s="75"/>
      <c r="B489" s="75"/>
    </row>
    <row r="490" spans="1:2" s="55" customFormat="1">
      <c r="A490" s="75"/>
      <c r="B490" s="75"/>
    </row>
    <row r="491" spans="1:2" s="55" customFormat="1">
      <c r="A491" s="75"/>
      <c r="B491" s="75"/>
    </row>
    <row r="492" spans="1:2" s="55" customFormat="1">
      <c r="A492" s="75"/>
      <c r="B492" s="75"/>
    </row>
    <row r="493" spans="1:2" s="55" customFormat="1">
      <c r="A493" s="75"/>
      <c r="B493" s="75"/>
    </row>
    <row r="494" spans="1:2" s="55" customFormat="1">
      <c r="A494" s="75"/>
      <c r="B494" s="75"/>
    </row>
    <row r="495" spans="1:2" s="55" customFormat="1">
      <c r="A495" s="75"/>
      <c r="B495" s="75"/>
    </row>
    <row r="496" spans="1:2" s="55" customFormat="1">
      <c r="A496" s="75"/>
      <c r="B496" s="75"/>
    </row>
    <row r="497" spans="1:2" s="55" customFormat="1">
      <c r="A497" s="75"/>
      <c r="B497" s="75"/>
    </row>
    <row r="498" spans="1:2" s="55" customFormat="1">
      <c r="A498" s="75"/>
      <c r="B498" s="75"/>
    </row>
    <row r="499" spans="1:2" s="55" customFormat="1">
      <c r="A499" s="75"/>
      <c r="B499" s="75"/>
    </row>
    <row r="500" spans="1:2" s="55" customFormat="1">
      <c r="A500" s="75"/>
      <c r="B500" s="75"/>
    </row>
    <row r="501" spans="1:2" s="55" customFormat="1">
      <c r="A501" s="75"/>
      <c r="B501" s="75"/>
    </row>
    <row r="502" spans="1:2" s="55" customFormat="1">
      <c r="A502" s="75"/>
      <c r="B502" s="75"/>
    </row>
    <row r="503" spans="1:2" s="55" customFormat="1">
      <c r="A503" s="75"/>
      <c r="B503" s="75"/>
    </row>
    <row r="504" spans="1:2" s="55" customFormat="1">
      <c r="A504" s="75"/>
      <c r="B504" s="75"/>
    </row>
    <row r="505" spans="1:2" s="55" customFormat="1">
      <c r="A505" s="75"/>
      <c r="B505" s="75"/>
    </row>
    <row r="506" spans="1:2" s="55" customFormat="1">
      <c r="A506" s="75"/>
      <c r="B506" s="75"/>
    </row>
    <row r="507" spans="1:2" s="55" customFormat="1">
      <c r="A507" s="75"/>
      <c r="B507" s="75"/>
    </row>
    <row r="508" spans="1:2" s="55" customFormat="1">
      <c r="A508" s="75"/>
      <c r="B508" s="75"/>
    </row>
    <row r="509" spans="1:2" s="55" customFormat="1">
      <c r="A509" s="75"/>
      <c r="B509" s="75"/>
    </row>
    <row r="510" spans="1:2" s="55" customFormat="1">
      <c r="A510" s="75"/>
      <c r="B510" s="75"/>
    </row>
    <row r="511" spans="1:2" s="55" customFormat="1">
      <c r="A511" s="75"/>
      <c r="B511" s="75"/>
    </row>
    <row r="512" spans="1:2" s="55" customFormat="1">
      <c r="A512" s="75"/>
      <c r="B512" s="75"/>
    </row>
    <row r="513" spans="1:2" s="55" customFormat="1">
      <c r="A513" s="75"/>
      <c r="B513" s="75"/>
    </row>
    <row r="514" spans="1:2" s="55" customFormat="1">
      <c r="A514" s="75"/>
      <c r="B514" s="75"/>
    </row>
    <row r="515" spans="1:2" s="55" customFormat="1">
      <c r="A515" s="75"/>
      <c r="B515" s="75"/>
    </row>
    <row r="516" spans="1:2" s="55" customFormat="1">
      <c r="A516" s="75"/>
      <c r="B516" s="75"/>
    </row>
    <row r="517" spans="1:2" s="55" customFormat="1">
      <c r="A517" s="75"/>
      <c r="B517" s="75"/>
    </row>
    <row r="518" spans="1:2" s="55" customFormat="1">
      <c r="A518" s="75"/>
      <c r="B518" s="75"/>
    </row>
    <row r="519" spans="1:2" s="55" customFormat="1">
      <c r="A519" s="75"/>
      <c r="B519" s="75"/>
    </row>
    <row r="520" spans="1:2" s="55" customFormat="1">
      <c r="A520" s="75"/>
      <c r="B520" s="75"/>
    </row>
    <row r="521" spans="1:2" s="55" customFormat="1">
      <c r="A521" s="75"/>
      <c r="B521" s="75"/>
    </row>
    <row r="522" spans="1:2" s="55" customFormat="1">
      <c r="A522" s="75"/>
      <c r="B522" s="75"/>
    </row>
    <row r="523" spans="1:2" s="55" customFormat="1">
      <c r="A523" s="75"/>
      <c r="B523" s="75"/>
    </row>
    <row r="524" spans="1:2" s="55" customFormat="1">
      <c r="A524" s="75"/>
      <c r="B524" s="75"/>
    </row>
    <row r="525" spans="1:2" s="55" customFormat="1">
      <c r="A525" s="75"/>
      <c r="B525" s="75"/>
    </row>
    <row r="526" spans="1:2" s="55" customFormat="1">
      <c r="A526" s="75"/>
      <c r="B526" s="75"/>
    </row>
    <row r="527" spans="1:2" s="55" customFormat="1">
      <c r="A527" s="75"/>
      <c r="B527" s="75"/>
    </row>
    <row r="528" spans="1:2" s="55" customFormat="1">
      <c r="A528" s="75"/>
      <c r="B528" s="75"/>
    </row>
    <row r="529" spans="1:2" s="55" customFormat="1">
      <c r="A529" s="75"/>
      <c r="B529" s="75"/>
    </row>
    <row r="530" spans="1:2" s="55" customFormat="1">
      <c r="A530" s="75"/>
      <c r="B530" s="75"/>
    </row>
    <row r="531" spans="1:2" s="55" customFormat="1">
      <c r="A531" s="75"/>
      <c r="B531" s="75"/>
    </row>
    <row r="532" spans="1:2" s="55" customFormat="1">
      <c r="A532" s="75"/>
      <c r="B532" s="75"/>
    </row>
    <row r="533" spans="1:2" s="55" customFormat="1">
      <c r="A533" s="75"/>
      <c r="B533" s="75"/>
    </row>
    <row r="534" spans="1:2" s="55" customFormat="1">
      <c r="A534" s="75"/>
      <c r="B534" s="75"/>
    </row>
    <row r="535" spans="1:2" s="55" customFormat="1">
      <c r="A535" s="75"/>
      <c r="B535" s="75"/>
    </row>
    <row r="536" spans="1:2" s="55" customFormat="1">
      <c r="A536" s="75"/>
      <c r="B536" s="75"/>
    </row>
    <row r="537" spans="1:2" s="55" customFormat="1">
      <c r="A537" s="75"/>
      <c r="B537" s="75"/>
    </row>
    <row r="538" spans="1:2" s="55" customFormat="1">
      <c r="A538" s="75"/>
      <c r="B538" s="75"/>
    </row>
    <row r="539" spans="1:2" s="55" customFormat="1">
      <c r="A539" s="75"/>
      <c r="B539" s="75"/>
    </row>
    <row r="540" spans="1:2" s="55" customFormat="1">
      <c r="A540" s="75"/>
      <c r="B540" s="75"/>
    </row>
    <row r="541" spans="1:2" s="55" customFormat="1">
      <c r="A541" s="75"/>
      <c r="B541" s="75"/>
    </row>
    <row r="542" spans="1:2" s="55" customFormat="1">
      <c r="A542" s="75"/>
      <c r="B542" s="75"/>
    </row>
    <row r="543" spans="1:2" s="55" customFormat="1">
      <c r="A543" s="75"/>
      <c r="B543" s="75"/>
    </row>
    <row r="544" spans="1:2" s="55" customFormat="1">
      <c r="A544" s="75"/>
      <c r="B544" s="75"/>
    </row>
    <row r="545" spans="1:2" s="55" customFormat="1">
      <c r="A545" s="75"/>
      <c r="B545" s="75"/>
    </row>
    <row r="546" spans="1:2" s="55" customFormat="1">
      <c r="A546" s="75"/>
      <c r="B546" s="75"/>
    </row>
    <row r="547" spans="1:2" s="55" customFormat="1">
      <c r="A547" s="75"/>
      <c r="B547" s="75"/>
    </row>
    <row r="548" spans="1:2" s="55" customFormat="1">
      <c r="A548" s="75"/>
      <c r="B548" s="75"/>
    </row>
    <row r="549" spans="1:2" s="55" customFormat="1">
      <c r="A549" s="75"/>
      <c r="B549" s="75"/>
    </row>
    <row r="550" spans="1:2" s="55" customFormat="1">
      <c r="A550" s="75"/>
      <c r="B550" s="75"/>
    </row>
    <row r="551" spans="1:2" s="55" customFormat="1">
      <c r="A551" s="75"/>
      <c r="B551" s="75"/>
    </row>
    <row r="552" spans="1:2" s="55" customFormat="1">
      <c r="A552" s="75"/>
      <c r="B552" s="75"/>
    </row>
    <row r="553" spans="1:2" s="55" customFormat="1">
      <c r="A553" s="75"/>
      <c r="B553" s="75"/>
    </row>
    <row r="554" spans="1:2" s="55" customFormat="1">
      <c r="A554" s="75"/>
      <c r="B554" s="75"/>
    </row>
    <row r="555" spans="1:2" s="55" customFormat="1">
      <c r="A555" s="75"/>
      <c r="B555" s="75"/>
    </row>
    <row r="556" spans="1:2" s="55" customFormat="1">
      <c r="A556" s="75"/>
      <c r="B556" s="75"/>
    </row>
    <row r="557" spans="1:2" s="55" customFormat="1">
      <c r="A557" s="75"/>
      <c r="B557" s="75"/>
    </row>
    <row r="558" spans="1:2" s="55" customFormat="1">
      <c r="A558" s="75"/>
      <c r="B558" s="75"/>
    </row>
    <row r="559" spans="1:2" s="55" customFormat="1">
      <c r="A559" s="75"/>
      <c r="B559" s="75"/>
    </row>
    <row r="560" spans="1:2" s="55" customFormat="1">
      <c r="A560" s="75"/>
      <c r="B560" s="75"/>
    </row>
    <row r="561" spans="1:2" s="55" customFormat="1">
      <c r="A561" s="75"/>
      <c r="B561" s="75"/>
    </row>
    <row r="562" spans="1:2" s="55" customFormat="1">
      <c r="A562" s="75"/>
      <c r="B562" s="75"/>
    </row>
    <row r="563" spans="1:2" s="55" customFormat="1">
      <c r="A563" s="75"/>
      <c r="B563" s="75"/>
    </row>
    <row r="564" spans="1:2" s="55" customFormat="1">
      <c r="A564" s="75"/>
      <c r="B564" s="75"/>
    </row>
    <row r="565" spans="1:2" s="55" customFormat="1">
      <c r="A565" s="75"/>
      <c r="B565" s="75"/>
    </row>
    <row r="566" spans="1:2" s="55" customFormat="1">
      <c r="A566" s="75"/>
      <c r="B566" s="75"/>
    </row>
    <row r="567" spans="1:2" s="55" customFormat="1">
      <c r="A567" s="75"/>
      <c r="B567" s="75"/>
    </row>
    <row r="568" spans="1:2" s="55" customFormat="1">
      <c r="A568" s="75"/>
      <c r="B568" s="75"/>
    </row>
    <row r="569" spans="1:2" s="55" customFormat="1">
      <c r="A569" s="75"/>
      <c r="B569" s="75"/>
    </row>
    <row r="570" spans="1:2" s="55" customFormat="1">
      <c r="A570" s="75"/>
      <c r="B570" s="75"/>
    </row>
    <row r="571" spans="1:2" s="55" customFormat="1">
      <c r="A571" s="75"/>
      <c r="B571" s="75"/>
    </row>
    <row r="572" spans="1:2" s="55" customFormat="1">
      <c r="A572" s="75"/>
      <c r="B572" s="75"/>
    </row>
    <row r="573" spans="1:2" s="55" customFormat="1">
      <c r="A573" s="75"/>
      <c r="B573" s="75"/>
    </row>
    <row r="574" spans="1:2" s="55" customFormat="1">
      <c r="A574" s="75"/>
      <c r="B574" s="75"/>
    </row>
    <row r="575" spans="1:2" s="55" customFormat="1">
      <c r="A575" s="75"/>
      <c r="B575" s="75"/>
    </row>
    <row r="576" spans="1:2" s="55" customFormat="1">
      <c r="A576" s="75"/>
      <c r="B576" s="75"/>
    </row>
    <row r="577" spans="1:2" s="55" customFormat="1">
      <c r="A577" s="75"/>
      <c r="B577" s="75"/>
    </row>
    <row r="578" spans="1:2" s="55" customFormat="1">
      <c r="A578" s="75"/>
      <c r="B578" s="75"/>
    </row>
    <row r="579" spans="1:2" s="55" customFormat="1">
      <c r="A579" s="75"/>
      <c r="B579" s="75"/>
    </row>
    <row r="580" spans="1:2" s="55" customFormat="1">
      <c r="A580" s="75"/>
      <c r="B580" s="75"/>
    </row>
    <row r="581" spans="1:2" s="55" customFormat="1">
      <c r="A581" s="75"/>
      <c r="B581" s="75"/>
    </row>
    <row r="582" spans="1:2" s="55" customFormat="1">
      <c r="A582" s="75"/>
      <c r="B582" s="75"/>
    </row>
    <row r="583" spans="1:2" s="55" customFormat="1">
      <c r="A583" s="75"/>
      <c r="B583" s="75"/>
    </row>
    <row r="584" spans="1:2" s="55" customFormat="1">
      <c r="A584" s="75"/>
      <c r="B584" s="75"/>
    </row>
    <row r="585" spans="1:2" s="55" customFormat="1">
      <c r="A585" s="75"/>
      <c r="B585" s="75"/>
    </row>
    <row r="586" spans="1:2" s="55" customFormat="1">
      <c r="A586" s="75"/>
      <c r="B586" s="75"/>
    </row>
    <row r="587" spans="1:2" s="55" customFormat="1">
      <c r="A587" s="75"/>
      <c r="B587" s="75"/>
    </row>
    <row r="588" spans="1:2" s="55" customFormat="1">
      <c r="A588" s="75"/>
      <c r="B588" s="75"/>
    </row>
    <row r="589" spans="1:2" s="55" customFormat="1">
      <c r="A589" s="75"/>
      <c r="B589" s="75"/>
    </row>
    <row r="590" spans="1:2" s="55" customFormat="1">
      <c r="A590" s="75"/>
      <c r="B590" s="75"/>
    </row>
    <row r="591" spans="1:2" s="55" customFormat="1">
      <c r="A591" s="75"/>
      <c r="B591" s="75"/>
    </row>
    <row r="592" spans="1:2" s="55" customFormat="1">
      <c r="A592" s="75"/>
      <c r="B592" s="75"/>
    </row>
    <row r="593" spans="1:2" s="55" customFormat="1">
      <c r="A593" s="75"/>
      <c r="B593" s="75"/>
    </row>
    <row r="594" spans="1:2" s="55" customFormat="1">
      <c r="A594" s="75"/>
      <c r="B594" s="75"/>
    </row>
    <row r="595" spans="1:2" s="55" customFormat="1">
      <c r="A595" s="75"/>
      <c r="B595" s="75"/>
    </row>
    <row r="596" spans="1:2" s="55" customFormat="1">
      <c r="A596" s="75"/>
      <c r="B596" s="75"/>
    </row>
    <row r="597" spans="1:2" s="55" customFormat="1">
      <c r="A597" s="75"/>
      <c r="B597" s="75"/>
    </row>
    <row r="598" spans="1:2" s="55" customFormat="1">
      <c r="A598" s="75"/>
      <c r="B598" s="75"/>
    </row>
    <row r="599" spans="1:2" s="55" customFormat="1">
      <c r="A599" s="75"/>
      <c r="B599" s="75"/>
    </row>
    <row r="600" spans="1:2" s="55" customFormat="1">
      <c r="A600" s="75"/>
      <c r="B600" s="75"/>
    </row>
    <row r="601" spans="1:2" s="55" customFormat="1">
      <c r="A601" s="75"/>
      <c r="B601" s="75"/>
    </row>
    <row r="602" spans="1:2" s="55" customFormat="1">
      <c r="A602" s="75"/>
      <c r="B602" s="75"/>
    </row>
    <row r="603" spans="1:2" s="55" customFormat="1">
      <c r="A603" s="75"/>
      <c r="B603" s="75"/>
    </row>
    <row r="604" spans="1:2" s="55" customFormat="1">
      <c r="A604" s="75"/>
      <c r="B604" s="75"/>
    </row>
    <row r="605" spans="1:2" s="55" customFormat="1">
      <c r="A605" s="75"/>
      <c r="B605" s="75"/>
    </row>
    <row r="606" spans="1:2" s="55" customFormat="1">
      <c r="A606" s="75"/>
      <c r="B606" s="75"/>
    </row>
    <row r="607" spans="1:2" s="55" customFormat="1">
      <c r="A607" s="75"/>
      <c r="B607" s="75"/>
    </row>
    <row r="608" spans="1:2" s="55" customFormat="1">
      <c r="A608" s="75"/>
      <c r="B608" s="75"/>
    </row>
    <row r="609" spans="1:2" s="55" customFormat="1">
      <c r="A609" s="75"/>
      <c r="B609" s="75"/>
    </row>
    <row r="610" spans="1:2" s="55" customFormat="1">
      <c r="A610" s="75"/>
      <c r="B610" s="75"/>
    </row>
    <row r="611" spans="1:2" s="55" customFormat="1">
      <c r="A611" s="75"/>
      <c r="B611" s="75"/>
    </row>
    <row r="612" spans="1:2" s="55" customFormat="1">
      <c r="A612" s="75"/>
      <c r="B612" s="75"/>
    </row>
    <row r="613" spans="1:2" s="55" customFormat="1">
      <c r="A613" s="75"/>
      <c r="B613" s="75"/>
    </row>
    <row r="614" spans="1:2" s="55" customFormat="1">
      <c r="A614" s="75"/>
      <c r="B614" s="75"/>
    </row>
    <row r="615" spans="1:2" s="55" customFormat="1">
      <c r="A615" s="75"/>
      <c r="B615" s="75"/>
    </row>
    <row r="616" spans="1:2" s="55" customFormat="1">
      <c r="A616" s="75"/>
      <c r="B616" s="75"/>
    </row>
    <row r="617" spans="1:2" s="55" customFormat="1">
      <c r="A617" s="75"/>
      <c r="B617" s="75"/>
    </row>
    <row r="618" spans="1:2" s="55" customFormat="1">
      <c r="A618" s="75"/>
      <c r="B618" s="75"/>
    </row>
    <row r="619" spans="1:2" s="55" customFormat="1">
      <c r="A619" s="75"/>
      <c r="B619" s="75"/>
    </row>
    <row r="620" spans="1:2" s="55" customFormat="1">
      <c r="A620" s="75"/>
      <c r="B620" s="75"/>
    </row>
    <row r="621" spans="1:2" s="55" customFormat="1">
      <c r="A621" s="75"/>
      <c r="B621" s="75"/>
    </row>
    <row r="622" spans="1:2" s="55" customFormat="1">
      <c r="A622" s="75"/>
      <c r="B622" s="75"/>
    </row>
    <row r="623" spans="1:2" s="55" customFormat="1">
      <c r="A623" s="75"/>
      <c r="B623" s="75"/>
    </row>
    <row r="624" spans="1:2" s="55" customFormat="1">
      <c r="A624" s="75"/>
      <c r="B624" s="75"/>
    </row>
    <row r="625" spans="1:2" s="55" customFormat="1">
      <c r="A625" s="75"/>
      <c r="B625" s="75"/>
    </row>
    <row r="626" spans="1:2" s="55" customFormat="1">
      <c r="A626" s="75"/>
      <c r="B626" s="75"/>
    </row>
    <row r="627" spans="1:2" s="55" customFormat="1">
      <c r="A627" s="75"/>
      <c r="B627" s="75"/>
    </row>
    <row r="628" spans="1:2" s="55" customFormat="1">
      <c r="A628" s="75"/>
      <c r="B628" s="75"/>
    </row>
    <row r="629" spans="1:2" s="55" customFormat="1">
      <c r="A629" s="75"/>
      <c r="B629" s="75"/>
    </row>
    <row r="630" spans="1:2" s="55" customFormat="1">
      <c r="A630" s="75"/>
      <c r="B630" s="75"/>
    </row>
    <row r="631" spans="1:2" s="55" customFormat="1">
      <c r="A631" s="75"/>
      <c r="B631" s="75"/>
    </row>
    <row r="632" spans="1:2" s="55" customFormat="1">
      <c r="A632" s="75"/>
      <c r="B632" s="75"/>
    </row>
    <row r="633" spans="1:2" s="55" customFormat="1">
      <c r="A633" s="75"/>
      <c r="B633" s="75"/>
    </row>
    <row r="634" spans="1:2" s="55" customFormat="1">
      <c r="A634" s="75"/>
      <c r="B634" s="75"/>
    </row>
    <row r="635" spans="1:2" s="55" customFormat="1">
      <c r="A635" s="75"/>
      <c r="B635" s="75"/>
    </row>
    <row r="636" spans="1:2" s="55" customFormat="1">
      <c r="A636" s="75"/>
      <c r="B636" s="75"/>
    </row>
    <row r="637" spans="1:2" s="55" customFormat="1">
      <c r="A637" s="75"/>
      <c r="B637" s="75"/>
    </row>
    <row r="638" spans="1:2" s="55" customFormat="1">
      <c r="A638" s="75"/>
      <c r="B638" s="75"/>
    </row>
    <row r="639" spans="1:2" s="55" customFormat="1">
      <c r="A639" s="75"/>
      <c r="B639" s="75"/>
    </row>
    <row r="640" spans="1:2" s="55" customFormat="1">
      <c r="A640" s="75"/>
      <c r="B640" s="75"/>
    </row>
    <row r="641" spans="1:2" s="55" customFormat="1">
      <c r="A641" s="75"/>
      <c r="B641" s="75"/>
    </row>
    <row r="642" spans="1:2" s="55" customFormat="1">
      <c r="A642" s="75"/>
      <c r="B642" s="75"/>
    </row>
    <row r="643" spans="1:2" s="55" customFormat="1">
      <c r="A643" s="75"/>
      <c r="B643" s="75"/>
    </row>
    <row r="644" spans="1:2" s="55" customFormat="1">
      <c r="A644" s="75"/>
      <c r="B644" s="75"/>
    </row>
    <row r="645" spans="1:2" s="55" customFormat="1">
      <c r="A645" s="75"/>
      <c r="B645" s="75"/>
    </row>
    <row r="646" spans="1:2" s="55" customFormat="1">
      <c r="A646" s="75"/>
      <c r="B646" s="75"/>
    </row>
    <row r="647" spans="1:2" s="55" customFormat="1">
      <c r="A647" s="75"/>
      <c r="B647" s="75"/>
    </row>
    <row r="648" spans="1:2" s="55" customFormat="1">
      <c r="A648" s="75"/>
      <c r="B648" s="75"/>
    </row>
    <row r="649" spans="1:2" s="55" customFormat="1">
      <c r="A649" s="75"/>
      <c r="B649" s="75"/>
    </row>
    <row r="650" spans="1:2" s="55" customFormat="1">
      <c r="A650" s="75"/>
      <c r="B650" s="75"/>
    </row>
    <row r="651" spans="1:2" s="55" customFormat="1">
      <c r="A651" s="75"/>
      <c r="B651" s="75"/>
    </row>
    <row r="652" spans="1:2" s="55" customFormat="1">
      <c r="A652" s="75"/>
      <c r="B652" s="75"/>
    </row>
    <row r="653" spans="1:2" s="55" customFormat="1">
      <c r="A653" s="75"/>
      <c r="B653" s="75"/>
    </row>
    <row r="654" spans="1:2" s="55" customFormat="1">
      <c r="A654" s="75"/>
      <c r="B654" s="75"/>
    </row>
    <row r="655" spans="1:2" s="55" customFormat="1">
      <c r="A655" s="75"/>
      <c r="B655" s="75"/>
    </row>
    <row r="656" spans="1:2" s="55" customFormat="1">
      <c r="A656" s="75"/>
      <c r="B656" s="75"/>
    </row>
    <row r="657" spans="1:2" s="55" customFormat="1">
      <c r="A657" s="75"/>
      <c r="B657" s="75"/>
    </row>
    <row r="658" spans="1:2" s="55" customFormat="1">
      <c r="A658" s="75"/>
      <c r="B658" s="75"/>
    </row>
    <row r="659" spans="1:2" s="55" customFormat="1">
      <c r="A659" s="75"/>
      <c r="B659" s="75"/>
    </row>
    <row r="660" spans="1:2" s="55" customFormat="1">
      <c r="A660" s="75"/>
      <c r="B660" s="75"/>
    </row>
    <row r="661" spans="1:2" s="55" customFormat="1">
      <c r="A661" s="75"/>
      <c r="B661" s="75"/>
    </row>
    <row r="662" spans="1:2" s="55" customFormat="1">
      <c r="A662" s="75"/>
      <c r="B662" s="75"/>
    </row>
    <row r="663" spans="1:2" s="55" customFormat="1">
      <c r="A663" s="75"/>
      <c r="B663" s="75"/>
    </row>
    <row r="664" spans="1:2" s="55" customFormat="1">
      <c r="A664" s="75"/>
      <c r="B664" s="75"/>
    </row>
    <row r="665" spans="1:2" s="55" customFormat="1">
      <c r="A665" s="75"/>
      <c r="B665" s="75"/>
    </row>
    <row r="666" spans="1:2" s="55" customFormat="1">
      <c r="A666" s="75"/>
      <c r="B666" s="75"/>
    </row>
    <row r="667" spans="1:2" s="55" customFormat="1">
      <c r="A667" s="75"/>
      <c r="B667" s="75"/>
    </row>
    <row r="668" spans="1:2" s="55" customFormat="1">
      <c r="A668" s="75"/>
      <c r="B668" s="75"/>
    </row>
    <row r="669" spans="1:2" s="55" customFormat="1">
      <c r="A669" s="75"/>
      <c r="B669" s="75"/>
    </row>
    <row r="670" spans="1:2" s="55" customFormat="1">
      <c r="A670" s="75"/>
      <c r="B670" s="75"/>
    </row>
    <row r="671" spans="1:2" s="55" customFormat="1">
      <c r="A671" s="75"/>
      <c r="B671" s="75"/>
    </row>
    <row r="672" spans="1:2" s="55" customFormat="1">
      <c r="A672" s="75"/>
      <c r="B672" s="75"/>
    </row>
    <row r="673" spans="1:2" s="55" customFormat="1">
      <c r="A673" s="75"/>
      <c r="B673" s="75"/>
    </row>
    <row r="674" spans="1:2" s="55" customFormat="1">
      <c r="A674" s="75"/>
      <c r="B674" s="75"/>
    </row>
    <row r="675" spans="1:2" s="55" customFormat="1">
      <c r="A675" s="75"/>
      <c r="B675" s="75"/>
    </row>
    <row r="676" spans="1:2" s="55" customFormat="1">
      <c r="A676" s="75"/>
      <c r="B676" s="75"/>
    </row>
    <row r="677" spans="1:2" s="55" customFormat="1">
      <c r="A677" s="75"/>
      <c r="B677" s="75"/>
    </row>
    <row r="678" spans="1:2" s="55" customFormat="1">
      <c r="A678" s="75"/>
      <c r="B678" s="75"/>
    </row>
    <row r="679" spans="1:2" s="55" customFormat="1">
      <c r="A679" s="75"/>
      <c r="B679" s="75"/>
    </row>
    <row r="680" spans="1:2" s="55" customFormat="1">
      <c r="A680" s="75"/>
      <c r="B680" s="75"/>
    </row>
    <row r="681" spans="1:2" s="55" customFormat="1">
      <c r="A681" s="75"/>
      <c r="B681" s="75"/>
    </row>
    <row r="682" spans="1:2" s="55" customFormat="1">
      <c r="A682" s="75"/>
      <c r="B682" s="75"/>
    </row>
    <row r="683" spans="1:2" s="55" customFormat="1">
      <c r="A683" s="75"/>
      <c r="B683" s="75"/>
    </row>
    <row r="684" spans="1:2" s="55" customFormat="1">
      <c r="A684" s="75"/>
      <c r="B684" s="75"/>
    </row>
    <row r="685" spans="1:2" s="55" customFormat="1">
      <c r="A685" s="75"/>
      <c r="B685" s="75"/>
    </row>
    <row r="686" spans="1:2" s="55" customFormat="1">
      <c r="A686" s="75"/>
      <c r="B686" s="75"/>
    </row>
    <row r="687" spans="1:2" s="55" customFormat="1">
      <c r="A687" s="75"/>
      <c r="B687" s="75"/>
    </row>
    <row r="688" spans="1:2" s="55" customFormat="1">
      <c r="A688" s="75"/>
      <c r="B688" s="75"/>
    </row>
    <row r="689" spans="1:2" s="55" customFormat="1">
      <c r="A689" s="75"/>
      <c r="B689" s="75"/>
    </row>
    <row r="690" spans="1:2" s="55" customFormat="1">
      <c r="A690" s="75"/>
      <c r="B690" s="75"/>
    </row>
    <row r="691" spans="1:2" s="55" customFormat="1">
      <c r="A691" s="75"/>
      <c r="B691" s="75"/>
    </row>
    <row r="692" spans="1:2" s="55" customFormat="1">
      <c r="A692" s="75"/>
      <c r="B692" s="75"/>
    </row>
    <row r="693" spans="1:2" s="55" customFormat="1">
      <c r="A693" s="75"/>
      <c r="B693" s="75"/>
    </row>
    <row r="694" spans="1:2" s="55" customFormat="1">
      <c r="A694" s="75"/>
      <c r="B694" s="75"/>
    </row>
    <row r="695" spans="1:2" s="55" customFormat="1">
      <c r="A695" s="75"/>
      <c r="B695" s="75"/>
    </row>
    <row r="696" spans="1:2" s="55" customFormat="1">
      <c r="A696" s="75"/>
      <c r="B696" s="75"/>
    </row>
    <row r="697" spans="1:2" s="55" customFormat="1">
      <c r="A697" s="75"/>
      <c r="B697" s="75"/>
    </row>
    <row r="698" spans="1:2" s="55" customFormat="1">
      <c r="A698" s="75"/>
      <c r="B698" s="75"/>
    </row>
    <row r="699" spans="1:2" s="55" customFormat="1">
      <c r="A699" s="75"/>
      <c r="B699" s="75"/>
    </row>
    <row r="700" spans="1:2" s="55" customFormat="1">
      <c r="A700" s="75"/>
      <c r="B700" s="75"/>
    </row>
    <row r="701" spans="1:2" s="55" customFormat="1">
      <c r="A701" s="75"/>
      <c r="B701" s="75"/>
    </row>
    <row r="702" spans="1:2" s="55" customFormat="1">
      <c r="A702" s="75"/>
      <c r="B702" s="75"/>
    </row>
    <row r="703" spans="1:2" s="55" customFormat="1">
      <c r="A703" s="75"/>
      <c r="B703" s="75"/>
    </row>
    <row r="704" spans="1:2" s="55" customFormat="1">
      <c r="A704" s="75"/>
      <c r="B704" s="75"/>
    </row>
    <row r="705" spans="1:2" s="55" customFormat="1">
      <c r="A705" s="75"/>
      <c r="B705" s="75"/>
    </row>
    <row r="706" spans="1:2" s="55" customFormat="1">
      <c r="A706" s="75"/>
      <c r="B706" s="75"/>
    </row>
    <row r="707" spans="1:2" s="55" customFormat="1">
      <c r="A707" s="75"/>
      <c r="B707" s="75"/>
    </row>
    <row r="708" spans="1:2" s="55" customFormat="1">
      <c r="A708" s="75"/>
      <c r="B708" s="75"/>
    </row>
    <row r="709" spans="1:2" s="55" customFormat="1">
      <c r="A709" s="75"/>
      <c r="B709" s="75"/>
    </row>
    <row r="710" spans="1:2" s="55" customFormat="1">
      <c r="A710" s="75"/>
      <c r="B710" s="75"/>
    </row>
    <row r="711" spans="1:2" s="55" customFormat="1">
      <c r="A711" s="75"/>
      <c r="B711" s="75"/>
    </row>
    <row r="712" spans="1:2" s="55" customFormat="1">
      <c r="A712" s="75"/>
      <c r="B712" s="75"/>
    </row>
    <row r="713" spans="1:2" s="55" customFormat="1">
      <c r="A713" s="75"/>
      <c r="B713" s="75"/>
    </row>
    <row r="714" spans="1:2" s="55" customFormat="1">
      <c r="A714" s="75"/>
      <c r="B714" s="75"/>
    </row>
    <row r="715" spans="1:2" s="55" customFormat="1">
      <c r="A715" s="75"/>
      <c r="B715" s="75"/>
    </row>
    <row r="716" spans="1:2" s="55" customFormat="1">
      <c r="A716" s="75"/>
      <c r="B716" s="75"/>
    </row>
    <row r="717" spans="1:2" s="55" customFormat="1">
      <c r="A717" s="75"/>
      <c r="B717" s="75"/>
    </row>
    <row r="718" spans="1:2" s="55" customFormat="1">
      <c r="A718" s="75"/>
      <c r="B718" s="75"/>
    </row>
    <row r="719" spans="1:2" s="55" customFormat="1">
      <c r="A719" s="75"/>
      <c r="B719" s="75"/>
    </row>
    <row r="720" spans="1:2" s="55" customFormat="1">
      <c r="A720" s="75"/>
      <c r="B720" s="75"/>
    </row>
    <row r="721" spans="1:2" s="55" customFormat="1">
      <c r="A721" s="75"/>
      <c r="B721" s="75"/>
    </row>
    <row r="722" spans="1:2" s="55" customFormat="1">
      <c r="A722" s="75"/>
      <c r="B722" s="75"/>
    </row>
    <row r="723" spans="1:2" s="55" customFormat="1">
      <c r="A723" s="75"/>
      <c r="B723" s="75"/>
    </row>
    <row r="724" spans="1:2" s="55" customFormat="1">
      <c r="A724" s="75"/>
      <c r="B724" s="75"/>
    </row>
    <row r="725" spans="1:2" s="55" customFormat="1">
      <c r="A725" s="75"/>
      <c r="B725" s="75"/>
    </row>
    <row r="726" spans="1:2" s="55" customFormat="1">
      <c r="A726" s="75"/>
      <c r="B726" s="75"/>
    </row>
    <row r="727" spans="1:2" s="55" customFormat="1">
      <c r="A727" s="75"/>
      <c r="B727" s="75"/>
    </row>
    <row r="728" spans="1:2" s="55" customFormat="1">
      <c r="A728" s="75"/>
      <c r="B728" s="75"/>
    </row>
    <row r="729" spans="1:2" s="55" customFormat="1">
      <c r="A729" s="75"/>
      <c r="B729" s="75"/>
    </row>
    <row r="730" spans="1:2" s="55" customFormat="1">
      <c r="A730" s="75"/>
      <c r="B730" s="75"/>
    </row>
    <row r="731" spans="1:2" s="55" customFormat="1">
      <c r="A731" s="75"/>
      <c r="B731" s="75"/>
    </row>
    <row r="732" spans="1:2" s="55" customFormat="1">
      <c r="A732" s="75"/>
      <c r="B732" s="75"/>
    </row>
    <row r="733" spans="1:2" s="55" customFormat="1">
      <c r="A733" s="75"/>
      <c r="B733" s="75"/>
    </row>
    <row r="734" spans="1:2" s="55" customFormat="1">
      <c r="A734" s="75"/>
      <c r="B734" s="75"/>
    </row>
    <row r="735" spans="1:2" s="55" customFormat="1">
      <c r="A735" s="75"/>
      <c r="B735" s="75"/>
    </row>
    <row r="736" spans="1:2" s="55" customFormat="1">
      <c r="A736" s="75"/>
      <c r="B736" s="75"/>
    </row>
    <row r="737" spans="1:2" s="55" customFormat="1">
      <c r="A737" s="75"/>
      <c r="B737" s="75"/>
    </row>
    <row r="738" spans="1:2" s="55" customFormat="1">
      <c r="A738" s="75"/>
      <c r="B738" s="75"/>
    </row>
    <row r="739" spans="1:2" s="55" customFormat="1">
      <c r="A739" s="75"/>
      <c r="B739" s="75"/>
    </row>
    <row r="740" spans="1:2" s="55" customFormat="1">
      <c r="A740" s="75"/>
      <c r="B740" s="75"/>
    </row>
    <row r="741" spans="1:2" s="55" customFormat="1">
      <c r="A741" s="75"/>
      <c r="B741" s="75"/>
    </row>
    <row r="742" spans="1:2" s="55" customFormat="1">
      <c r="A742" s="75"/>
      <c r="B742" s="75"/>
    </row>
    <row r="743" spans="1:2" s="55" customFormat="1">
      <c r="A743" s="75"/>
      <c r="B743" s="75"/>
    </row>
    <row r="744" spans="1:2" s="55" customFormat="1">
      <c r="A744" s="75"/>
      <c r="B744" s="75"/>
    </row>
    <row r="745" spans="1:2" s="55" customFormat="1">
      <c r="A745" s="75"/>
      <c r="B745" s="75"/>
    </row>
    <row r="746" spans="1:2" s="55" customFormat="1">
      <c r="A746" s="75"/>
      <c r="B746" s="75"/>
    </row>
    <row r="747" spans="1:2" s="55" customFormat="1">
      <c r="A747" s="75"/>
      <c r="B747" s="75"/>
    </row>
    <row r="748" spans="1:2" s="55" customFormat="1">
      <c r="A748" s="75"/>
      <c r="B748" s="75"/>
    </row>
    <row r="749" spans="1:2" s="55" customFormat="1">
      <c r="A749" s="75"/>
      <c r="B749" s="75"/>
    </row>
    <row r="750" spans="1:2" s="55" customFormat="1">
      <c r="A750" s="75"/>
      <c r="B750" s="75"/>
    </row>
    <row r="751" spans="1:2" s="55" customFormat="1">
      <c r="A751" s="75"/>
      <c r="B751" s="75"/>
    </row>
    <row r="752" spans="1:2" s="55" customFormat="1">
      <c r="A752" s="75"/>
      <c r="B752" s="75"/>
    </row>
    <row r="753" spans="1:2" s="55" customFormat="1">
      <c r="A753" s="75"/>
      <c r="B753" s="75"/>
    </row>
    <row r="754" spans="1:2" s="55" customFormat="1">
      <c r="A754" s="75"/>
      <c r="B754" s="75"/>
    </row>
    <row r="755" spans="1:2" s="55" customFormat="1">
      <c r="A755" s="75"/>
      <c r="B755" s="75"/>
    </row>
    <row r="756" spans="1:2" s="55" customFormat="1">
      <c r="A756" s="75"/>
      <c r="B756" s="75"/>
    </row>
    <row r="757" spans="1:2" s="55" customFormat="1">
      <c r="A757" s="75"/>
      <c r="B757" s="75"/>
    </row>
    <row r="758" spans="1:2" s="55" customFormat="1">
      <c r="A758" s="75"/>
      <c r="B758" s="75"/>
    </row>
    <row r="759" spans="1:2" s="55" customFormat="1">
      <c r="A759" s="75"/>
      <c r="B759" s="75"/>
    </row>
    <row r="760" spans="1:2" s="55" customFormat="1">
      <c r="A760" s="75"/>
      <c r="B760" s="75"/>
    </row>
    <row r="761" spans="1:2" s="55" customFormat="1">
      <c r="A761" s="75"/>
      <c r="B761" s="75"/>
    </row>
    <row r="762" spans="1:2" s="55" customFormat="1">
      <c r="A762" s="75"/>
      <c r="B762" s="75"/>
    </row>
    <row r="763" spans="1:2" s="55" customFormat="1">
      <c r="A763" s="75"/>
      <c r="B763" s="75"/>
    </row>
    <row r="764" spans="1:2" s="55" customFormat="1">
      <c r="A764" s="75"/>
      <c r="B764" s="75"/>
    </row>
    <row r="765" spans="1:2" s="55" customFormat="1">
      <c r="A765" s="75"/>
      <c r="B765" s="75"/>
    </row>
    <row r="766" spans="1:2" s="55" customFormat="1">
      <c r="A766" s="75"/>
      <c r="B766" s="75"/>
    </row>
    <row r="767" spans="1:2" s="55" customFormat="1">
      <c r="A767" s="75"/>
      <c r="B767" s="75"/>
    </row>
    <row r="768" spans="1:2" s="55" customFormat="1">
      <c r="A768" s="75"/>
      <c r="B768" s="75"/>
    </row>
    <row r="769" spans="1:2" s="55" customFormat="1">
      <c r="A769" s="75"/>
      <c r="B769" s="75"/>
    </row>
    <row r="770" spans="1:2" s="55" customFormat="1">
      <c r="A770" s="75"/>
      <c r="B770" s="75"/>
    </row>
    <row r="771" spans="1:2" s="55" customFormat="1">
      <c r="A771" s="75"/>
      <c r="B771" s="75"/>
    </row>
    <row r="772" spans="1:2" s="55" customFormat="1">
      <c r="A772" s="75"/>
      <c r="B772" s="75"/>
    </row>
    <row r="773" spans="1:2" s="55" customFormat="1">
      <c r="A773" s="75"/>
      <c r="B773" s="75"/>
    </row>
    <row r="774" spans="1:2" s="55" customFormat="1">
      <c r="A774" s="75"/>
      <c r="B774" s="75"/>
    </row>
    <row r="775" spans="1:2" s="55" customFormat="1">
      <c r="A775" s="75"/>
      <c r="B775" s="75"/>
    </row>
    <row r="776" spans="1:2" s="55" customFormat="1">
      <c r="A776" s="75"/>
      <c r="B776" s="75"/>
    </row>
    <row r="777" spans="1:2" s="55" customFormat="1">
      <c r="A777" s="75"/>
      <c r="B777" s="75"/>
    </row>
    <row r="778" spans="1:2" s="55" customFormat="1">
      <c r="A778" s="75"/>
      <c r="B778" s="75"/>
    </row>
    <row r="779" spans="1:2" s="55" customFormat="1">
      <c r="A779" s="75"/>
      <c r="B779" s="75"/>
    </row>
    <row r="780" spans="1:2" s="55" customFormat="1">
      <c r="A780" s="75"/>
      <c r="B780" s="75"/>
    </row>
    <row r="781" spans="1:2" s="55" customFormat="1">
      <c r="A781" s="75"/>
      <c r="B781" s="75"/>
    </row>
    <row r="782" spans="1:2" s="55" customFormat="1">
      <c r="A782" s="75"/>
      <c r="B782" s="75"/>
    </row>
    <row r="783" spans="1:2" s="55" customFormat="1">
      <c r="A783" s="75"/>
      <c r="B783" s="75"/>
    </row>
    <row r="784" spans="1:2" s="55" customFormat="1">
      <c r="A784" s="75"/>
      <c r="B784" s="75"/>
    </row>
    <row r="785" spans="1:2" s="55" customFormat="1">
      <c r="A785" s="75"/>
      <c r="B785" s="75"/>
    </row>
    <row r="786" spans="1:2" s="55" customFormat="1">
      <c r="A786" s="75"/>
      <c r="B786" s="75"/>
    </row>
    <row r="787" spans="1:2" s="55" customFormat="1">
      <c r="A787" s="75"/>
      <c r="B787" s="75"/>
    </row>
    <row r="788" spans="1:2" s="55" customFormat="1">
      <c r="A788" s="75"/>
      <c r="B788" s="75"/>
    </row>
    <row r="789" spans="1:2" s="55" customFormat="1">
      <c r="A789" s="75"/>
      <c r="B789" s="75"/>
    </row>
    <row r="790" spans="1:2" s="55" customFormat="1">
      <c r="A790" s="75"/>
      <c r="B790" s="75"/>
    </row>
    <row r="791" spans="1:2" s="55" customFormat="1">
      <c r="A791" s="75"/>
      <c r="B791" s="75"/>
    </row>
    <row r="792" spans="1:2" s="55" customFormat="1">
      <c r="A792" s="75"/>
      <c r="B792" s="75"/>
    </row>
    <row r="793" spans="1:2" s="55" customFormat="1">
      <c r="A793" s="75"/>
      <c r="B793" s="75"/>
    </row>
    <row r="794" spans="1:2" s="55" customFormat="1">
      <c r="A794" s="75"/>
      <c r="B794" s="75"/>
    </row>
    <row r="795" spans="1:2" s="55" customFormat="1">
      <c r="A795" s="75"/>
      <c r="B795" s="75"/>
    </row>
    <row r="796" spans="1:2" s="55" customFormat="1">
      <c r="A796" s="75"/>
      <c r="B796" s="75"/>
    </row>
    <row r="797" spans="1:2" s="55" customFormat="1">
      <c r="A797" s="75"/>
      <c r="B797" s="75"/>
    </row>
    <row r="798" spans="1:2" s="55" customFormat="1">
      <c r="A798" s="75"/>
      <c r="B798" s="75"/>
    </row>
    <row r="799" spans="1:2" s="55" customFormat="1">
      <c r="A799" s="75"/>
      <c r="B799" s="75"/>
    </row>
    <row r="800" spans="1:2" s="55" customFormat="1">
      <c r="A800" s="75"/>
      <c r="B800" s="75"/>
    </row>
    <row r="801" spans="1:2" s="55" customFormat="1">
      <c r="A801" s="75"/>
      <c r="B801" s="75"/>
    </row>
    <row r="802" spans="1:2" s="55" customFormat="1">
      <c r="A802" s="75"/>
      <c r="B802" s="75"/>
    </row>
    <row r="803" spans="1:2" s="55" customFormat="1">
      <c r="A803" s="75"/>
      <c r="B803" s="75"/>
    </row>
    <row r="804" spans="1:2" s="55" customFormat="1">
      <c r="A804" s="75"/>
      <c r="B804" s="75"/>
    </row>
    <row r="805" spans="1:2" s="55" customFormat="1">
      <c r="A805" s="75"/>
      <c r="B805" s="75"/>
    </row>
    <row r="806" spans="1:2" s="55" customFormat="1">
      <c r="A806" s="75"/>
      <c r="B806" s="75"/>
    </row>
    <row r="807" spans="1:2" s="55" customFormat="1">
      <c r="A807" s="75"/>
      <c r="B807" s="75"/>
    </row>
    <row r="808" spans="1:2" s="55" customFormat="1">
      <c r="A808" s="75"/>
      <c r="B808" s="75"/>
    </row>
    <row r="809" spans="1:2" s="55" customFormat="1">
      <c r="A809" s="75"/>
      <c r="B809" s="75"/>
    </row>
    <row r="810" spans="1:2" s="55" customFormat="1">
      <c r="A810" s="75"/>
      <c r="B810" s="75"/>
    </row>
    <row r="811" spans="1:2" s="55" customFormat="1">
      <c r="A811" s="75"/>
      <c r="B811" s="75"/>
    </row>
    <row r="812" spans="1:2" s="55" customFormat="1">
      <c r="A812" s="75"/>
      <c r="B812" s="75"/>
    </row>
    <row r="813" spans="1:2" s="55" customFormat="1">
      <c r="A813" s="75"/>
      <c r="B813" s="75"/>
    </row>
    <row r="814" spans="1:2" s="55" customFormat="1">
      <c r="A814" s="75"/>
      <c r="B814" s="75"/>
    </row>
    <row r="815" spans="1:2" s="55" customFormat="1">
      <c r="A815" s="75"/>
      <c r="B815" s="75"/>
    </row>
    <row r="816" spans="1:2" s="55" customFormat="1">
      <c r="A816" s="75"/>
      <c r="B816" s="75"/>
    </row>
    <row r="817" spans="1:2" s="55" customFormat="1">
      <c r="A817" s="75"/>
      <c r="B817" s="75"/>
    </row>
    <row r="818" spans="1:2" s="55" customFormat="1">
      <c r="A818" s="75"/>
      <c r="B818" s="75"/>
    </row>
    <row r="819" spans="1:2" s="55" customFormat="1">
      <c r="A819" s="75"/>
      <c r="B819" s="75"/>
    </row>
    <row r="820" spans="1:2" s="55" customFormat="1">
      <c r="A820" s="75"/>
      <c r="B820" s="75"/>
    </row>
    <row r="821" spans="1:2" s="55" customFormat="1">
      <c r="A821" s="75"/>
      <c r="B821" s="75"/>
    </row>
    <row r="822" spans="1:2" s="55" customFormat="1">
      <c r="A822" s="75"/>
      <c r="B822" s="75"/>
    </row>
    <row r="823" spans="1:2" s="55" customFormat="1">
      <c r="A823" s="75"/>
      <c r="B823" s="75"/>
    </row>
    <row r="824" spans="1:2" s="55" customFormat="1">
      <c r="A824" s="75"/>
      <c r="B824" s="75"/>
    </row>
    <row r="825" spans="1:2" s="55" customFormat="1">
      <c r="A825" s="75"/>
      <c r="B825" s="75"/>
    </row>
    <row r="826" spans="1:2" s="55" customFormat="1">
      <c r="A826" s="75"/>
      <c r="B826" s="75"/>
    </row>
    <row r="827" spans="1:2" s="55" customFormat="1">
      <c r="A827" s="75"/>
      <c r="B827" s="75"/>
    </row>
    <row r="828" spans="1:2" s="55" customFormat="1">
      <c r="A828" s="75"/>
      <c r="B828" s="75"/>
    </row>
    <row r="829" spans="1:2" s="55" customFormat="1">
      <c r="A829" s="75"/>
      <c r="B829" s="75"/>
    </row>
    <row r="830" spans="1:2" s="55" customFormat="1">
      <c r="A830" s="75"/>
      <c r="B830" s="75"/>
    </row>
    <row r="831" spans="1:2" s="55" customFormat="1">
      <c r="A831" s="75"/>
      <c r="B831" s="75"/>
    </row>
    <row r="832" spans="1:2" s="55" customFormat="1">
      <c r="A832" s="75"/>
      <c r="B832" s="75"/>
    </row>
    <row r="833" spans="1:2" s="55" customFormat="1">
      <c r="A833" s="75"/>
      <c r="B833" s="75"/>
    </row>
    <row r="834" spans="1:2" s="55" customFormat="1">
      <c r="A834" s="75"/>
      <c r="B834" s="75"/>
    </row>
    <row r="835" spans="1:2" s="55" customFormat="1">
      <c r="A835" s="75"/>
      <c r="B835" s="75"/>
    </row>
    <row r="836" spans="1:2" s="55" customFormat="1">
      <c r="A836" s="75"/>
      <c r="B836" s="75"/>
    </row>
    <row r="837" spans="1:2" s="55" customFormat="1">
      <c r="A837" s="75"/>
      <c r="B837" s="75"/>
    </row>
    <row r="838" spans="1:2" s="55" customFormat="1">
      <c r="A838" s="75"/>
      <c r="B838" s="75"/>
    </row>
    <row r="839" spans="1:2" s="55" customFormat="1">
      <c r="A839" s="75"/>
      <c r="B839" s="75"/>
    </row>
    <row r="840" spans="1:2" s="55" customFormat="1">
      <c r="A840" s="75"/>
      <c r="B840" s="75"/>
    </row>
    <row r="841" spans="1:2" s="55" customFormat="1">
      <c r="A841" s="75"/>
      <c r="B841" s="75"/>
    </row>
    <row r="842" spans="1:2" s="55" customFormat="1">
      <c r="A842" s="75"/>
      <c r="B842" s="75"/>
    </row>
    <row r="843" spans="1:2" s="55" customFormat="1">
      <c r="A843" s="75"/>
      <c r="B843" s="75"/>
    </row>
    <row r="844" spans="1:2" s="55" customFormat="1">
      <c r="A844" s="75"/>
      <c r="B844" s="75"/>
    </row>
    <row r="845" spans="1:2" s="55" customFormat="1">
      <c r="A845" s="75"/>
      <c r="B845" s="75"/>
    </row>
    <row r="846" spans="1:2" s="55" customFormat="1">
      <c r="A846" s="75"/>
      <c r="B846" s="75"/>
    </row>
    <row r="847" spans="1:2" s="55" customFormat="1">
      <c r="A847" s="75"/>
      <c r="B847" s="75"/>
    </row>
    <row r="848" spans="1:2" s="55" customFormat="1">
      <c r="A848" s="75"/>
      <c r="B848" s="75"/>
    </row>
    <row r="849" spans="1:2" s="55" customFormat="1">
      <c r="A849" s="75"/>
      <c r="B849" s="75"/>
    </row>
    <row r="850" spans="1:2" s="55" customFormat="1">
      <c r="A850" s="75"/>
      <c r="B850" s="75"/>
    </row>
    <row r="851" spans="1:2" s="55" customFormat="1">
      <c r="A851" s="75"/>
      <c r="B851" s="75"/>
    </row>
    <row r="852" spans="1:2" s="55" customFormat="1">
      <c r="A852" s="75"/>
      <c r="B852" s="75"/>
    </row>
    <row r="853" spans="1:2" s="55" customFormat="1">
      <c r="A853" s="75"/>
      <c r="B853" s="75"/>
    </row>
    <row r="854" spans="1:2" s="55" customFormat="1">
      <c r="A854" s="75"/>
      <c r="B854" s="75"/>
    </row>
    <row r="855" spans="1:2" s="55" customFormat="1">
      <c r="A855" s="75"/>
      <c r="B855" s="75"/>
    </row>
    <row r="856" spans="1:2" s="55" customFormat="1">
      <c r="A856" s="75"/>
      <c r="B856" s="75"/>
    </row>
    <row r="857" spans="1:2" s="55" customFormat="1">
      <c r="A857" s="75"/>
      <c r="B857" s="75"/>
    </row>
    <row r="858" spans="1:2" s="55" customFormat="1">
      <c r="A858" s="75"/>
      <c r="B858" s="75"/>
    </row>
    <row r="859" spans="1:2" s="55" customFormat="1">
      <c r="A859" s="75"/>
      <c r="B859" s="75"/>
    </row>
    <row r="860" spans="1:2" s="55" customFormat="1">
      <c r="A860" s="75"/>
      <c r="B860" s="75"/>
    </row>
    <row r="861" spans="1:2" s="55" customFormat="1">
      <c r="A861" s="75"/>
      <c r="B861" s="75"/>
    </row>
    <row r="862" spans="1:2" s="55" customFormat="1">
      <c r="A862" s="75"/>
      <c r="B862" s="75"/>
    </row>
    <row r="863" spans="1:2" s="55" customFormat="1">
      <c r="A863" s="75"/>
      <c r="B863" s="75"/>
    </row>
    <row r="864" spans="1:2" s="55" customFormat="1">
      <c r="A864" s="75"/>
      <c r="B864" s="75"/>
    </row>
    <row r="865" spans="1:2" s="55" customFormat="1">
      <c r="A865" s="75"/>
      <c r="B865" s="75"/>
    </row>
    <row r="866" spans="1:2" s="55" customFormat="1">
      <c r="A866" s="75"/>
      <c r="B866" s="75"/>
    </row>
    <row r="867" spans="1:2" s="55" customFormat="1">
      <c r="A867" s="75"/>
      <c r="B867" s="75"/>
    </row>
    <row r="868" spans="1:2" s="55" customFormat="1">
      <c r="A868" s="75"/>
      <c r="B868" s="75"/>
    </row>
    <row r="869" spans="1:2" s="55" customFormat="1">
      <c r="A869" s="75"/>
      <c r="B869" s="75"/>
    </row>
    <row r="870" spans="1:2" s="55" customFormat="1">
      <c r="A870" s="75"/>
      <c r="B870" s="75"/>
    </row>
    <row r="871" spans="1:2" s="55" customFormat="1">
      <c r="A871" s="75"/>
      <c r="B871" s="75"/>
    </row>
    <row r="872" spans="1:2" s="55" customFormat="1">
      <c r="A872" s="75"/>
      <c r="B872" s="75"/>
    </row>
    <row r="873" spans="1:2" s="55" customFormat="1">
      <c r="A873" s="75"/>
      <c r="B873" s="75"/>
    </row>
    <row r="874" spans="1:2" s="55" customFormat="1">
      <c r="A874" s="75"/>
      <c r="B874" s="75"/>
    </row>
    <row r="875" spans="1:2" s="55" customFormat="1">
      <c r="A875" s="75"/>
      <c r="B875" s="75"/>
    </row>
    <row r="876" spans="1:2" s="55" customFormat="1">
      <c r="A876" s="75"/>
      <c r="B876" s="75"/>
    </row>
    <row r="877" spans="1:2" s="55" customFormat="1">
      <c r="A877" s="75"/>
      <c r="B877" s="75"/>
    </row>
    <row r="878" spans="1:2" s="55" customFormat="1">
      <c r="A878" s="75"/>
      <c r="B878" s="75"/>
    </row>
    <row r="879" spans="1:2" s="55" customFormat="1">
      <c r="A879" s="75"/>
      <c r="B879" s="75"/>
    </row>
    <row r="880" spans="1:2" s="55" customFormat="1">
      <c r="A880" s="75"/>
      <c r="B880" s="75"/>
    </row>
    <row r="881" spans="1:2" s="55" customFormat="1">
      <c r="A881" s="75"/>
      <c r="B881" s="75"/>
    </row>
    <row r="882" spans="1:2" s="55" customFormat="1">
      <c r="A882" s="75"/>
      <c r="B882" s="75"/>
    </row>
    <row r="883" spans="1:2" s="55" customFormat="1">
      <c r="A883" s="75"/>
      <c r="B883" s="75"/>
    </row>
    <row r="884" spans="1:2" s="55" customFormat="1">
      <c r="A884" s="75"/>
      <c r="B884" s="75"/>
    </row>
    <row r="885" spans="1:2" s="55" customFormat="1">
      <c r="A885" s="75"/>
      <c r="B885" s="75"/>
    </row>
    <row r="886" spans="1:2" s="55" customFormat="1">
      <c r="A886" s="75"/>
      <c r="B886" s="75"/>
    </row>
    <row r="887" spans="1:2" s="55" customFormat="1">
      <c r="A887" s="75"/>
      <c r="B887" s="75"/>
    </row>
    <row r="888" spans="1:2" s="55" customFormat="1">
      <c r="A888" s="75"/>
      <c r="B888" s="75"/>
    </row>
    <row r="889" spans="1:2" s="55" customFormat="1">
      <c r="A889" s="75"/>
      <c r="B889" s="75"/>
    </row>
    <row r="890" spans="1:2" s="55" customFormat="1">
      <c r="A890" s="75"/>
      <c r="B890" s="75"/>
    </row>
    <row r="891" spans="1:2" s="55" customFormat="1">
      <c r="A891" s="75"/>
      <c r="B891" s="75"/>
    </row>
    <row r="892" spans="1:2" s="55" customFormat="1">
      <c r="A892" s="75"/>
      <c r="B892" s="75"/>
    </row>
    <row r="893" spans="1:2" s="55" customFormat="1">
      <c r="A893" s="75"/>
      <c r="B893" s="75"/>
    </row>
    <row r="894" spans="1:2" s="55" customFormat="1">
      <c r="A894" s="75"/>
      <c r="B894" s="75"/>
    </row>
    <row r="895" spans="1:2" s="55" customFormat="1">
      <c r="A895" s="75"/>
      <c r="B895" s="75"/>
    </row>
    <row r="896" spans="1:2" s="55" customFormat="1">
      <c r="A896" s="75"/>
      <c r="B896" s="75"/>
    </row>
    <row r="897" spans="1:2" s="55" customFormat="1">
      <c r="A897" s="75"/>
      <c r="B897" s="75"/>
    </row>
    <row r="898" spans="1:2" s="55" customFormat="1">
      <c r="A898" s="75"/>
      <c r="B898" s="75"/>
    </row>
    <row r="899" spans="1:2" s="55" customFormat="1">
      <c r="A899" s="75"/>
      <c r="B899" s="75"/>
    </row>
    <row r="900" spans="1:2" s="55" customFormat="1">
      <c r="A900" s="75"/>
      <c r="B900" s="75"/>
    </row>
    <row r="901" spans="1:2" s="55" customFormat="1">
      <c r="A901" s="75"/>
      <c r="B901" s="75"/>
    </row>
    <row r="902" spans="1:2" s="55" customFormat="1">
      <c r="A902" s="75"/>
      <c r="B902" s="75"/>
    </row>
    <row r="903" spans="1:2" s="55" customFormat="1">
      <c r="A903" s="75"/>
      <c r="B903" s="75"/>
    </row>
    <row r="904" spans="1:2" s="55" customFormat="1">
      <c r="A904" s="75"/>
      <c r="B904" s="75"/>
    </row>
    <row r="905" spans="1:2" s="55" customFormat="1">
      <c r="A905" s="75"/>
      <c r="B905" s="75"/>
    </row>
    <row r="906" spans="1:2" s="55" customFormat="1">
      <c r="A906" s="75"/>
      <c r="B906" s="75"/>
    </row>
    <row r="907" spans="1:2" s="55" customFormat="1">
      <c r="A907" s="75"/>
      <c r="B907" s="75"/>
    </row>
    <row r="908" spans="1:2" s="55" customFormat="1">
      <c r="A908" s="75"/>
      <c r="B908" s="75"/>
    </row>
    <row r="909" spans="1:2" s="55" customFormat="1">
      <c r="A909" s="75"/>
      <c r="B909" s="75"/>
    </row>
    <row r="910" spans="1:2" s="55" customFormat="1">
      <c r="A910" s="75"/>
      <c r="B910" s="75"/>
    </row>
    <row r="911" spans="1:2" s="55" customFormat="1">
      <c r="A911" s="75"/>
      <c r="B911" s="75"/>
    </row>
    <row r="912" spans="1:2" s="55" customFormat="1">
      <c r="A912" s="75"/>
      <c r="B912" s="75"/>
    </row>
    <row r="913" spans="1:2" s="55" customFormat="1">
      <c r="A913" s="75"/>
      <c r="B913" s="75"/>
    </row>
    <row r="914" spans="1:2" s="55" customFormat="1">
      <c r="A914" s="75"/>
      <c r="B914" s="75"/>
    </row>
    <row r="915" spans="1:2" s="55" customFormat="1">
      <c r="A915" s="75"/>
      <c r="B915" s="75"/>
    </row>
    <row r="916" spans="1:2" s="55" customFormat="1">
      <c r="A916" s="75"/>
      <c r="B916" s="75"/>
    </row>
    <row r="917" spans="1:2" s="55" customFormat="1">
      <c r="A917" s="75"/>
      <c r="B917" s="75"/>
    </row>
    <row r="918" spans="1:2" s="55" customFormat="1">
      <c r="A918" s="75"/>
      <c r="B918" s="75"/>
    </row>
    <row r="919" spans="1:2" s="55" customFormat="1">
      <c r="A919" s="75"/>
      <c r="B919" s="75"/>
    </row>
    <row r="920" spans="1:2" s="55" customFormat="1">
      <c r="A920" s="75"/>
      <c r="B920" s="75"/>
    </row>
    <row r="921" spans="1:2" s="55" customFormat="1">
      <c r="A921" s="75"/>
      <c r="B921" s="75"/>
    </row>
    <row r="922" spans="1:2" s="55" customFormat="1">
      <c r="A922" s="75"/>
      <c r="B922" s="75"/>
    </row>
    <row r="923" spans="1:2" s="55" customFormat="1">
      <c r="A923" s="75"/>
      <c r="B923" s="75"/>
    </row>
    <row r="924" spans="1:2" s="55" customFormat="1">
      <c r="A924" s="75"/>
      <c r="B924" s="75"/>
    </row>
    <row r="925" spans="1:2" s="55" customFormat="1">
      <c r="A925" s="75"/>
      <c r="B925" s="75"/>
    </row>
    <row r="926" spans="1:2" s="55" customFormat="1">
      <c r="A926" s="75"/>
      <c r="B926" s="75"/>
    </row>
    <row r="927" spans="1:2" s="55" customFormat="1">
      <c r="A927" s="75"/>
      <c r="B927" s="75"/>
    </row>
    <row r="928" spans="1:2" s="55" customFormat="1">
      <c r="A928" s="75"/>
      <c r="B928" s="75"/>
    </row>
    <row r="929" spans="1:2" s="55" customFormat="1">
      <c r="A929" s="75"/>
      <c r="B929" s="75"/>
    </row>
    <row r="930" spans="1:2" s="55" customFormat="1">
      <c r="A930" s="75"/>
      <c r="B930" s="75"/>
    </row>
    <row r="931" spans="1:2" s="55" customFormat="1">
      <c r="A931" s="75"/>
      <c r="B931" s="75"/>
    </row>
    <row r="932" spans="1:2" s="55" customFormat="1">
      <c r="A932" s="75"/>
      <c r="B932" s="75"/>
    </row>
    <row r="933" spans="1:2" s="55" customFormat="1">
      <c r="A933" s="75"/>
      <c r="B933" s="75"/>
    </row>
    <row r="934" spans="1:2" s="55" customFormat="1">
      <c r="A934" s="75"/>
      <c r="B934" s="75"/>
    </row>
    <row r="935" spans="1:2" s="55" customFormat="1">
      <c r="A935" s="75"/>
      <c r="B935" s="75"/>
    </row>
    <row r="936" spans="1:2" s="55" customFormat="1">
      <c r="A936" s="75"/>
      <c r="B936" s="75"/>
    </row>
    <row r="937" spans="1:2" s="55" customFormat="1">
      <c r="A937" s="75"/>
      <c r="B937" s="75"/>
    </row>
    <row r="938" spans="1:2" s="55" customFormat="1">
      <c r="A938" s="75"/>
      <c r="B938" s="75"/>
    </row>
    <row r="939" spans="1:2" s="55" customFormat="1">
      <c r="A939" s="75"/>
      <c r="B939" s="75"/>
    </row>
    <row r="940" spans="1:2" s="55" customFormat="1">
      <c r="A940" s="75"/>
      <c r="B940" s="75"/>
    </row>
    <row r="941" spans="1:2" s="55" customFormat="1">
      <c r="A941" s="75"/>
      <c r="B941" s="75"/>
    </row>
    <row r="942" spans="1:2" s="55" customFormat="1">
      <c r="A942" s="75"/>
      <c r="B942" s="75"/>
    </row>
    <row r="943" spans="1:2" s="55" customFormat="1">
      <c r="A943" s="75"/>
      <c r="B943" s="75"/>
    </row>
    <row r="944" spans="1:2" s="55" customFormat="1">
      <c r="A944" s="75"/>
      <c r="B944" s="75"/>
    </row>
    <row r="945" spans="1:2" s="55" customFormat="1">
      <c r="A945" s="75"/>
      <c r="B945" s="75"/>
    </row>
    <row r="946" spans="1:2" s="55" customFormat="1">
      <c r="A946" s="75"/>
      <c r="B946" s="75"/>
    </row>
    <row r="947" spans="1:2" s="55" customFormat="1">
      <c r="A947" s="75"/>
      <c r="B947" s="75"/>
    </row>
    <row r="948" spans="1:2" s="55" customFormat="1">
      <c r="A948" s="75"/>
      <c r="B948" s="75"/>
    </row>
    <row r="949" spans="1:2" s="55" customFormat="1">
      <c r="A949" s="75"/>
      <c r="B949" s="75"/>
    </row>
    <row r="950" spans="1:2" s="55" customFormat="1">
      <c r="A950" s="75"/>
      <c r="B950" s="75"/>
    </row>
    <row r="951" spans="1:2" s="55" customFormat="1">
      <c r="A951" s="75"/>
      <c r="B951" s="75"/>
    </row>
    <row r="952" spans="1:2" s="55" customFormat="1">
      <c r="A952" s="75"/>
      <c r="B952" s="75"/>
    </row>
    <row r="953" spans="1:2" s="55" customFormat="1">
      <c r="A953" s="75"/>
      <c r="B953" s="75"/>
    </row>
    <row r="954" spans="1:2" s="55" customFormat="1">
      <c r="A954" s="75"/>
      <c r="B954" s="75"/>
    </row>
    <row r="955" spans="1:2" s="55" customFormat="1">
      <c r="A955" s="75"/>
      <c r="B955" s="75"/>
    </row>
    <row r="956" spans="1:2" s="55" customFormat="1">
      <c r="A956" s="75"/>
      <c r="B956" s="75"/>
    </row>
    <row r="957" spans="1:2" s="55" customFormat="1">
      <c r="A957" s="75"/>
      <c r="B957" s="75"/>
    </row>
    <row r="958" spans="1:2" s="55" customFormat="1">
      <c r="A958" s="75"/>
      <c r="B958" s="75"/>
    </row>
    <row r="959" spans="1:2" s="55" customFormat="1">
      <c r="A959" s="75"/>
      <c r="B959" s="75"/>
    </row>
    <row r="960" spans="1:2" s="55" customFormat="1">
      <c r="A960" s="75"/>
      <c r="B960" s="75"/>
    </row>
    <row r="961" spans="1:2" s="55" customFormat="1">
      <c r="A961" s="75"/>
      <c r="B961" s="75"/>
    </row>
    <row r="962" spans="1:2" s="55" customFormat="1">
      <c r="A962" s="75"/>
      <c r="B962" s="75"/>
    </row>
    <row r="963" spans="1:2" s="55" customFormat="1">
      <c r="A963" s="75"/>
      <c r="B963" s="75"/>
    </row>
    <row r="964" spans="1:2" s="55" customFormat="1">
      <c r="A964" s="75"/>
      <c r="B964" s="75"/>
    </row>
    <row r="965" spans="1:2" s="55" customFormat="1">
      <c r="A965" s="75"/>
      <c r="B965" s="75"/>
    </row>
    <row r="966" spans="1:2" s="55" customFormat="1">
      <c r="A966" s="75"/>
      <c r="B966" s="75"/>
    </row>
    <row r="967" spans="1:2" s="55" customFormat="1">
      <c r="A967" s="75"/>
      <c r="B967" s="75"/>
    </row>
    <row r="968" spans="1:2" s="55" customFormat="1">
      <c r="A968" s="75"/>
      <c r="B968" s="75"/>
    </row>
    <row r="969" spans="1:2" s="55" customFormat="1">
      <c r="A969" s="75"/>
      <c r="B969" s="75"/>
    </row>
    <row r="970" spans="1:2" s="55" customFormat="1">
      <c r="A970" s="75"/>
      <c r="B970" s="75"/>
    </row>
    <row r="971" spans="1:2" s="55" customFormat="1">
      <c r="A971" s="75"/>
      <c r="B971" s="75"/>
    </row>
    <row r="972" spans="1:2" s="55" customFormat="1">
      <c r="A972" s="75"/>
      <c r="B972" s="75"/>
    </row>
    <row r="973" spans="1:2" s="55" customFormat="1">
      <c r="A973" s="75"/>
      <c r="B973" s="75"/>
    </row>
    <row r="974" spans="1:2" s="55" customFormat="1">
      <c r="A974" s="75"/>
      <c r="B974" s="75"/>
    </row>
    <row r="975" spans="1:2" s="55" customFormat="1">
      <c r="A975" s="75"/>
      <c r="B975" s="75"/>
    </row>
    <row r="976" spans="1:2" s="55" customFormat="1">
      <c r="A976" s="75"/>
      <c r="B976" s="75"/>
    </row>
    <row r="977" spans="1:2" s="55" customFormat="1">
      <c r="A977" s="75"/>
      <c r="B977" s="75"/>
    </row>
    <row r="978" spans="1:2" s="55" customFormat="1">
      <c r="A978" s="75"/>
      <c r="B978" s="75"/>
    </row>
    <row r="979" spans="1:2" s="55" customFormat="1">
      <c r="A979" s="75"/>
      <c r="B979" s="75"/>
    </row>
    <row r="980" spans="1:2" s="55" customFormat="1">
      <c r="A980" s="75"/>
      <c r="B980" s="75"/>
    </row>
    <row r="981" spans="1:2" s="55" customFormat="1">
      <c r="A981" s="75"/>
      <c r="B981" s="75"/>
    </row>
    <row r="982" spans="1:2" s="55" customFormat="1">
      <c r="A982" s="75"/>
      <c r="B982" s="75"/>
    </row>
    <row r="983" spans="1:2" s="55" customFormat="1">
      <c r="A983" s="75"/>
      <c r="B983" s="75"/>
    </row>
    <row r="984" spans="1:2" s="55" customFormat="1">
      <c r="A984" s="75"/>
      <c r="B984" s="75"/>
    </row>
    <row r="985" spans="1:2" s="55" customFormat="1">
      <c r="A985" s="75"/>
      <c r="B985" s="75"/>
    </row>
    <row r="986" spans="1:2" s="55" customFormat="1">
      <c r="A986" s="75"/>
      <c r="B986" s="75"/>
    </row>
    <row r="987" spans="1:2" s="55" customFormat="1">
      <c r="A987" s="75"/>
      <c r="B987" s="75"/>
    </row>
    <row r="988" spans="1:2" s="55" customFormat="1">
      <c r="A988" s="75"/>
      <c r="B988" s="75"/>
    </row>
    <row r="989" spans="1:2" s="55" customFormat="1">
      <c r="A989" s="75"/>
      <c r="B989" s="75"/>
    </row>
    <row r="990" spans="1:2" s="55" customFormat="1">
      <c r="A990" s="75"/>
      <c r="B990" s="75"/>
    </row>
    <row r="991" spans="1:2" s="55" customFormat="1">
      <c r="A991" s="75"/>
      <c r="B991" s="75"/>
    </row>
    <row r="992" spans="1:2" s="55" customFormat="1">
      <c r="A992" s="75"/>
      <c r="B992" s="75"/>
    </row>
    <row r="993" spans="1:2" s="55" customFormat="1">
      <c r="A993" s="75"/>
      <c r="B993" s="75"/>
    </row>
    <row r="994" spans="1:2" s="55" customFormat="1">
      <c r="A994" s="75"/>
      <c r="B994" s="75"/>
    </row>
    <row r="995" spans="1:2" s="55" customFormat="1">
      <c r="A995" s="75"/>
      <c r="B995" s="75"/>
    </row>
    <row r="996" spans="1:2" s="55" customFormat="1">
      <c r="A996" s="75"/>
      <c r="B996" s="75"/>
    </row>
    <row r="997" spans="1:2" s="55" customFormat="1">
      <c r="A997" s="75"/>
      <c r="B997" s="75"/>
    </row>
    <row r="998" spans="1:2" s="55" customFormat="1">
      <c r="A998" s="75"/>
      <c r="B998" s="75"/>
    </row>
    <row r="999" spans="1:2" s="55" customFormat="1">
      <c r="A999" s="75"/>
      <c r="B999" s="75"/>
    </row>
    <row r="1000" spans="1:2" s="55" customFormat="1">
      <c r="A1000" s="75"/>
      <c r="B1000" s="75"/>
    </row>
    <row r="1001" spans="1:2" s="55" customFormat="1">
      <c r="A1001" s="75"/>
      <c r="B1001" s="75"/>
    </row>
    <row r="1002" spans="1:2" s="55" customFormat="1">
      <c r="A1002" s="75"/>
      <c r="B1002" s="75"/>
    </row>
    <row r="1003" spans="1:2" s="55" customFormat="1">
      <c r="A1003" s="75"/>
      <c r="B1003" s="75"/>
    </row>
    <row r="1004" spans="1:2" s="55" customFormat="1">
      <c r="A1004" s="75"/>
      <c r="B1004" s="75"/>
    </row>
    <row r="1005" spans="1:2" s="55" customFormat="1">
      <c r="A1005" s="75"/>
      <c r="B1005" s="75"/>
    </row>
    <row r="1006" spans="1:2" s="55" customFormat="1">
      <c r="A1006" s="75"/>
      <c r="B1006" s="75"/>
    </row>
    <row r="1007" spans="1:2" s="55" customFormat="1">
      <c r="A1007" s="75"/>
      <c r="B1007" s="75"/>
    </row>
    <row r="1008" spans="1:2" s="55" customFormat="1">
      <c r="A1008" s="75"/>
      <c r="B1008" s="75"/>
    </row>
    <row r="1009" spans="1:2" s="55" customFormat="1">
      <c r="A1009" s="75"/>
      <c r="B1009" s="75"/>
    </row>
    <row r="1010" spans="1:2" s="55" customFormat="1">
      <c r="A1010" s="75"/>
      <c r="B1010" s="75"/>
    </row>
    <row r="1011" spans="1:2" s="55" customFormat="1">
      <c r="A1011" s="75"/>
      <c r="B1011" s="75"/>
    </row>
    <row r="1012" spans="1:2" s="55" customFormat="1">
      <c r="A1012" s="75"/>
      <c r="B1012" s="75"/>
    </row>
    <row r="1013" spans="1:2" s="55" customFormat="1">
      <c r="A1013" s="75"/>
      <c r="B1013" s="75"/>
    </row>
    <row r="1014" spans="1:2" s="55" customFormat="1">
      <c r="A1014" s="75"/>
      <c r="B1014" s="75"/>
    </row>
    <row r="1015" spans="1:2" s="55" customFormat="1">
      <c r="A1015" s="75"/>
      <c r="B1015" s="75"/>
    </row>
    <row r="1016" spans="1:2" s="55" customFormat="1">
      <c r="A1016" s="75"/>
      <c r="B1016" s="75"/>
    </row>
    <row r="1017" spans="1:2" s="55" customFormat="1">
      <c r="A1017" s="75"/>
      <c r="B1017" s="75"/>
    </row>
    <row r="1018" spans="1:2" s="55" customFormat="1">
      <c r="A1018" s="75"/>
      <c r="B1018" s="75"/>
    </row>
    <row r="1019" spans="1:2" s="55" customFormat="1">
      <c r="A1019" s="75"/>
      <c r="B1019" s="75"/>
    </row>
    <row r="1020" spans="1:2" s="55" customFormat="1">
      <c r="A1020" s="75"/>
      <c r="B1020" s="75"/>
    </row>
    <row r="1021" spans="1:2" s="55" customFormat="1">
      <c r="A1021" s="75"/>
      <c r="B1021" s="75"/>
    </row>
    <row r="1022" spans="1:2" s="55" customFormat="1">
      <c r="A1022" s="75"/>
      <c r="B1022" s="75"/>
    </row>
    <row r="1023" spans="1:2" s="55" customFormat="1">
      <c r="A1023" s="75"/>
      <c r="B1023" s="75"/>
    </row>
    <row r="1024" spans="1:2" s="55" customFormat="1">
      <c r="A1024" s="75"/>
      <c r="B1024" s="75"/>
    </row>
    <row r="1025" spans="1:2" s="55" customFormat="1">
      <c r="A1025" s="75"/>
      <c r="B1025" s="75"/>
    </row>
    <row r="1026" spans="1:2" s="55" customFormat="1">
      <c r="A1026" s="75"/>
      <c r="B1026" s="75"/>
    </row>
    <row r="1027" spans="1:2" s="55" customFormat="1">
      <c r="A1027" s="75"/>
      <c r="B1027" s="75"/>
    </row>
    <row r="1028" spans="1:2" s="55" customFormat="1">
      <c r="A1028" s="75"/>
      <c r="B1028" s="75"/>
    </row>
    <row r="1029" spans="1:2" s="55" customFormat="1">
      <c r="A1029" s="75"/>
      <c r="B1029" s="75"/>
    </row>
    <row r="1030" spans="1:2" s="55" customFormat="1">
      <c r="A1030" s="75"/>
      <c r="B1030" s="75"/>
    </row>
    <row r="1031" spans="1:2" s="55" customFormat="1">
      <c r="A1031" s="75"/>
      <c r="B1031" s="75"/>
    </row>
    <row r="1032" spans="1:2" s="55" customFormat="1">
      <c r="A1032" s="75"/>
      <c r="B1032" s="75"/>
    </row>
    <row r="1033" spans="1:2" s="55" customFormat="1">
      <c r="A1033" s="75"/>
      <c r="B1033" s="75"/>
    </row>
    <row r="1034" spans="1:2" s="55" customFormat="1">
      <c r="A1034" s="75"/>
      <c r="B1034" s="75"/>
    </row>
    <row r="1035" spans="1:2" s="55" customFormat="1">
      <c r="A1035" s="75"/>
      <c r="B1035" s="75"/>
    </row>
    <row r="1036" spans="1:2" s="55" customFormat="1">
      <c r="A1036" s="75"/>
      <c r="B1036" s="75"/>
    </row>
    <row r="1037" spans="1:2" s="55" customFormat="1">
      <c r="A1037" s="75"/>
      <c r="B1037" s="75"/>
    </row>
    <row r="1038" spans="1:2" s="55" customFormat="1">
      <c r="A1038" s="75"/>
      <c r="B1038" s="75"/>
    </row>
    <row r="1039" spans="1:2" s="55" customFormat="1">
      <c r="A1039" s="75"/>
      <c r="B1039" s="75"/>
    </row>
    <row r="1040" spans="1:2" s="55" customFormat="1">
      <c r="A1040" s="75"/>
      <c r="B1040" s="75"/>
    </row>
    <row r="1041" spans="1:2" s="55" customFormat="1">
      <c r="A1041" s="75"/>
      <c r="B1041" s="75"/>
    </row>
    <row r="1042" spans="1:2" s="55" customFormat="1">
      <c r="A1042" s="75"/>
      <c r="B1042" s="75"/>
    </row>
    <row r="1043" spans="1:2" s="55" customFormat="1">
      <c r="A1043" s="75"/>
      <c r="B1043" s="75"/>
    </row>
    <row r="1044" spans="1:2" s="55" customFormat="1">
      <c r="A1044" s="75"/>
      <c r="B1044" s="75"/>
    </row>
    <row r="1045" spans="1:2" s="55" customFormat="1">
      <c r="A1045" s="75"/>
      <c r="B1045" s="75"/>
    </row>
    <row r="1046" spans="1:2" s="55" customFormat="1">
      <c r="A1046" s="75"/>
      <c r="B1046" s="75"/>
    </row>
    <row r="1047" spans="1:2" s="55" customFormat="1">
      <c r="A1047" s="75"/>
      <c r="B1047" s="75"/>
    </row>
    <row r="1048" spans="1:2" s="55" customFormat="1">
      <c r="A1048" s="75"/>
      <c r="B1048" s="75"/>
    </row>
    <row r="1049" spans="1:2" s="55" customFormat="1">
      <c r="A1049" s="75"/>
      <c r="B1049" s="75"/>
    </row>
    <row r="1050" spans="1:2" s="55" customFormat="1">
      <c r="A1050" s="75"/>
      <c r="B1050" s="75"/>
    </row>
    <row r="1051" spans="1:2" s="55" customFormat="1">
      <c r="A1051" s="75"/>
      <c r="B1051" s="75"/>
    </row>
    <row r="1052" spans="1:2" s="55" customFormat="1">
      <c r="A1052" s="75"/>
      <c r="B1052" s="75"/>
    </row>
    <row r="1053" spans="1:2" s="55" customFormat="1">
      <c r="A1053" s="75"/>
      <c r="B1053" s="75"/>
    </row>
    <row r="1054" spans="1:2" s="55" customFormat="1">
      <c r="A1054" s="75"/>
      <c r="B1054" s="75"/>
    </row>
    <row r="1055" spans="1:2" s="55" customFormat="1">
      <c r="A1055" s="75"/>
      <c r="B1055" s="75"/>
    </row>
    <row r="1056" spans="1:2" s="55" customFormat="1">
      <c r="A1056" s="75"/>
      <c r="B1056" s="75"/>
    </row>
    <row r="1057" spans="1:2" s="55" customFormat="1">
      <c r="A1057" s="75"/>
      <c r="B1057" s="75"/>
    </row>
    <row r="1058" spans="1:2" s="55" customFormat="1">
      <c r="A1058" s="75"/>
      <c r="B1058" s="75"/>
    </row>
    <row r="1059" spans="1:2" s="55" customFormat="1">
      <c r="A1059" s="75"/>
      <c r="B1059" s="75"/>
    </row>
    <row r="1060" spans="1:2" s="55" customFormat="1">
      <c r="A1060" s="75"/>
      <c r="B1060" s="75"/>
    </row>
    <row r="1061" spans="1:2" s="55" customFormat="1">
      <c r="A1061" s="75"/>
      <c r="B1061" s="75"/>
    </row>
    <row r="1062" spans="1:2" s="55" customFormat="1">
      <c r="A1062" s="75"/>
      <c r="B1062" s="75"/>
    </row>
    <row r="1063" spans="1:2" s="55" customFormat="1">
      <c r="A1063" s="75"/>
      <c r="B1063" s="75"/>
    </row>
    <row r="1064" spans="1:2" s="55" customFormat="1">
      <c r="A1064" s="75"/>
      <c r="B1064" s="75"/>
    </row>
    <row r="1065" spans="1:2" s="55" customFormat="1">
      <c r="A1065" s="75"/>
      <c r="B1065" s="75"/>
    </row>
    <row r="1066" spans="1:2" s="55" customFormat="1">
      <c r="A1066" s="75"/>
      <c r="B1066" s="75"/>
    </row>
    <row r="1067" spans="1:2" s="55" customFormat="1">
      <c r="A1067" s="75"/>
      <c r="B1067" s="75"/>
    </row>
    <row r="1068" spans="1:2" s="55" customFormat="1">
      <c r="A1068" s="75"/>
      <c r="B1068" s="75"/>
    </row>
  </sheetData>
  <hyperlinks>
    <hyperlink ref="E2" location="'Aufbau LCC-CO2-Tool'!A1" display="zurück zur Übersicht" xr:uid="{6C83A1BE-99F9-4C3F-9E7A-C4CF35F84B74}"/>
    <hyperlink ref="E3" location="'Anleitung für Beschaffende'!A17" display="zurück zur Anleitung für Beschaffende " xr:uid="{3A3944A1-C25F-40B0-BAAB-4AEFB53CD9E8}"/>
    <hyperlink ref="E4" location="'Anleitung für Bietende'!A13" display="zurück zur Anleitung für Bietende" xr:uid="{04A631F5-3D52-4F56-A516-9D90FDAAD649}"/>
  </hyperlinks>
  <pageMargins left="0.70866141732283472" right="0.70866141732283472" top="0.78740157480314965" bottom="0.78740157480314965" header="0.31496062992125984" footer="0.31496062992125984"/>
  <pageSetup paperSize="9" scale="61" orientation="landscape" r:id="rId1"/>
  <headerFooter>
    <oddHeader>&amp;C&amp;14&amp;KFF0000TESTVERSION!</oddHeader>
    <oddFooter>&amp;L&amp;8LCC-CO2-Tool - Arbeitshilfe des Umweltbundesamtes&amp;C &amp;8Investitionsrechnung&amp;R&amp;8&amp;P</oddFooter>
  </headerFooter>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9">
    <tabColor rgb="FFBCE4A7"/>
    <pageSetUpPr fitToPage="1"/>
  </sheetPr>
  <dimension ref="A1:K98"/>
  <sheetViews>
    <sheetView showGridLines="0" topLeftCell="A82" zoomScale="90" zoomScaleNormal="90" workbookViewId="0">
      <selection activeCell="F82" sqref="F82"/>
    </sheetView>
  </sheetViews>
  <sheetFormatPr baseColWidth="10" defaultColWidth="11.08203125" defaultRowHeight="14.5"/>
  <cols>
    <col min="1" max="1" width="2.08203125" style="55" customWidth="1"/>
    <col min="2" max="2" width="3.58203125" style="55" customWidth="1"/>
    <col min="3" max="3" width="2.58203125" style="55" customWidth="1"/>
    <col min="4" max="4" width="31.58203125" style="55" customWidth="1"/>
    <col min="5" max="5" width="49.58203125" style="58" customWidth="1"/>
    <col min="6" max="6" width="13.83203125" style="55" customWidth="1"/>
    <col min="7" max="7" width="11.08203125" style="55"/>
    <col min="8" max="8" width="15.58203125" style="55" customWidth="1"/>
    <col min="9" max="9" width="67.58203125" style="74" customWidth="1"/>
    <col min="10" max="10" width="3.58203125" style="55" customWidth="1"/>
    <col min="11" max="11" width="2.08203125" style="55" customWidth="1"/>
    <col min="12" max="15" width="11.08203125" style="55"/>
    <col min="16" max="16" width="36.58203125" style="55" customWidth="1"/>
    <col min="17" max="16384" width="11.08203125" style="55"/>
  </cols>
  <sheetData>
    <row r="1" spans="1:11">
      <c r="A1" s="511"/>
      <c r="B1" s="511"/>
      <c r="C1" s="511"/>
      <c r="D1" s="511"/>
      <c r="E1" s="512"/>
      <c r="F1" s="511"/>
      <c r="G1" s="511"/>
      <c r="H1" s="511"/>
      <c r="I1" s="513"/>
      <c r="J1" s="511"/>
      <c r="K1" s="511"/>
    </row>
    <row r="2" spans="1:11" ht="33.65" customHeight="1">
      <c r="A2" s="511"/>
      <c r="B2" s="90"/>
      <c r="C2" s="68" t="s">
        <v>233</v>
      </c>
      <c r="D2" s="358"/>
      <c r="E2" s="404"/>
      <c r="F2" s="68"/>
      <c r="G2" s="68"/>
      <c r="H2" s="68"/>
      <c r="I2" s="302"/>
      <c r="J2" s="358"/>
      <c r="K2" s="511"/>
    </row>
    <row r="3" spans="1:11" ht="33.65" customHeight="1">
      <c r="A3" s="511"/>
      <c r="B3" s="369"/>
      <c r="C3" s="358" t="s">
        <v>92</v>
      </c>
      <c r="D3" s="358"/>
      <c r="E3" s="224" t="s">
        <v>234</v>
      </c>
      <c r="F3" s="314">
        <f>1/6*B13+1/6*B22+1/6*B30+1/6*B47+1/6*B68+1/6*B78</f>
        <v>0</v>
      </c>
      <c r="G3" s="56"/>
      <c r="H3" s="996" t="s">
        <v>1886</v>
      </c>
      <c r="I3" s="303"/>
      <c r="J3" s="358"/>
      <c r="K3" s="511"/>
    </row>
    <row r="4" spans="1:11">
      <c r="A4" s="511"/>
      <c r="B4" s="358"/>
      <c r="C4" s="370" t="s">
        <v>120</v>
      </c>
      <c r="D4" s="370"/>
      <c r="E4" s="404"/>
      <c r="F4" s="358"/>
      <c r="G4" s="358"/>
      <c r="H4" s="996" t="s">
        <v>1887</v>
      </c>
      <c r="I4" s="484"/>
      <c r="J4" s="358"/>
      <c r="K4" s="511"/>
    </row>
    <row r="5" spans="1:11">
      <c r="A5" s="511"/>
      <c r="B5" s="358"/>
      <c r="C5" s="403" t="s">
        <v>44</v>
      </c>
      <c r="D5" s="403"/>
      <c r="E5" s="404"/>
      <c r="F5" s="358"/>
      <c r="G5" s="358"/>
      <c r="H5" s="996" t="s">
        <v>1888</v>
      </c>
      <c r="I5" s="484"/>
      <c r="J5" s="358"/>
      <c r="K5" s="511"/>
    </row>
    <row r="6" spans="1:11">
      <c r="A6" s="511"/>
      <c r="B6" s="358"/>
      <c r="C6" s="358"/>
      <c r="D6" s="358"/>
      <c r="E6" s="404"/>
      <c r="F6" s="358"/>
      <c r="G6" s="358"/>
      <c r="H6" s="358"/>
      <c r="I6" s="484"/>
      <c r="J6" s="358"/>
      <c r="K6" s="511"/>
    </row>
    <row r="7" spans="1:11">
      <c r="A7" s="511"/>
      <c r="B7" s="358"/>
      <c r="C7" s="358"/>
      <c r="D7" s="514" t="s">
        <v>235</v>
      </c>
      <c r="E7" s="845"/>
      <c r="F7" s="65" t="s">
        <v>1313</v>
      </c>
      <c r="G7" s="358"/>
      <c r="H7" s="358"/>
      <c r="I7" s="484"/>
      <c r="J7" s="358"/>
      <c r="K7" s="511"/>
    </row>
    <row r="8" spans="1:11" ht="14.15" customHeight="1">
      <c r="A8" s="511"/>
      <c r="B8" s="358"/>
      <c r="C8" s="358"/>
      <c r="D8" s="474" t="s">
        <v>236</v>
      </c>
      <c r="E8" s="515"/>
      <c r="F8" s="148" t="s">
        <v>1721</v>
      </c>
      <c r="G8" s="358"/>
      <c r="H8" s="358"/>
      <c r="I8" s="484"/>
      <c r="J8" s="358"/>
      <c r="K8" s="511"/>
    </row>
    <row r="9" spans="1:11">
      <c r="A9" s="511"/>
      <c r="B9" s="358"/>
      <c r="C9" s="358"/>
      <c r="D9" s="358"/>
      <c r="E9" s="404"/>
      <c r="F9" s="358"/>
      <c r="G9" s="358"/>
      <c r="H9" s="358"/>
      <c r="I9" s="516"/>
      <c r="J9" s="358"/>
      <c r="K9" s="511"/>
    </row>
    <row r="10" spans="1:11" ht="21.5" thickBot="1">
      <c r="A10" s="511"/>
      <c r="B10" s="358"/>
      <c r="C10" s="296" t="s">
        <v>238</v>
      </c>
      <c r="D10" s="358"/>
      <c r="E10" s="404"/>
      <c r="F10" s="358"/>
      <c r="G10" s="358"/>
      <c r="H10" s="358"/>
      <c r="I10" s="516"/>
      <c r="J10" s="358"/>
      <c r="K10" s="511"/>
    </row>
    <row r="11" spans="1:11" ht="19" thickTop="1">
      <c r="A11" s="511"/>
      <c r="B11" s="358"/>
      <c r="C11" s="173"/>
      <c r="D11" s="174"/>
      <c r="E11" s="175"/>
      <c r="F11" s="174"/>
      <c r="G11" s="176"/>
      <c r="H11" s="176"/>
      <c r="I11" s="329" t="s">
        <v>239</v>
      </c>
      <c r="J11" s="358"/>
      <c r="K11" s="511"/>
    </row>
    <row r="12" spans="1:11">
      <c r="A12" s="511"/>
      <c r="B12" s="358"/>
      <c r="C12" s="177"/>
      <c r="D12" s="81"/>
      <c r="E12" s="82"/>
      <c r="F12" s="81"/>
      <c r="G12" s="83"/>
      <c r="H12" s="83"/>
      <c r="I12" s="304"/>
      <c r="J12" s="358"/>
      <c r="K12" s="511"/>
    </row>
    <row r="13" spans="1:11" ht="72.5">
      <c r="A13" s="511"/>
      <c r="B13" s="62">
        <f>IF(AND(E13&lt;&gt;"",E15&lt;&gt;""),1,0)</f>
        <v>0</v>
      </c>
      <c r="C13" s="177"/>
      <c r="D13" s="408" t="s">
        <v>240</v>
      </c>
      <c r="E13" s="828"/>
      <c r="F13" s="417" t="s">
        <v>241</v>
      </c>
      <c r="G13" s="84"/>
      <c r="H13" s="84"/>
      <c r="I13" s="149" t="s">
        <v>1722</v>
      </c>
      <c r="J13" s="358"/>
      <c r="K13" s="511"/>
    </row>
    <row r="14" spans="1:11" ht="15" thickBot="1">
      <c r="A14" s="511"/>
      <c r="B14" s="358"/>
      <c r="C14" s="177"/>
      <c r="D14" s="474"/>
      <c r="E14" s="404"/>
      <c r="F14" s="358"/>
      <c r="G14" s="85"/>
      <c r="H14" s="85"/>
      <c r="I14" s="149"/>
      <c r="J14" s="358"/>
      <c r="K14" s="511"/>
    </row>
    <row r="15" spans="1:11" ht="17" thickBot="1">
      <c r="A15" s="511"/>
      <c r="B15" s="358"/>
      <c r="C15" s="177"/>
      <c r="D15" s="256" t="s">
        <v>1737</v>
      </c>
      <c r="E15" s="840"/>
      <c r="F15" s="72" t="s">
        <v>1738</v>
      </c>
      <c r="G15" s="85" t="s">
        <v>323</v>
      </c>
      <c r="H15" s="85"/>
      <c r="I15" s="249" t="s">
        <v>1772</v>
      </c>
      <c r="J15" s="358"/>
      <c r="K15" s="511"/>
    </row>
    <row r="16" spans="1:11">
      <c r="A16" s="511"/>
      <c r="B16" s="358"/>
      <c r="C16" s="177"/>
      <c r="D16" s="358"/>
      <c r="E16" s="404"/>
      <c r="F16" s="358"/>
      <c r="G16" s="86"/>
      <c r="H16" s="86"/>
      <c r="I16" s="149"/>
      <c r="J16" s="358"/>
      <c r="K16" s="511"/>
    </row>
    <row r="17" spans="1:11" ht="15" thickBot="1">
      <c r="A17" s="511"/>
      <c r="B17" s="358"/>
      <c r="C17" s="178"/>
      <c r="D17" s="179"/>
      <c r="E17" s="180"/>
      <c r="F17" s="179"/>
      <c r="G17" s="181"/>
      <c r="H17" s="181"/>
      <c r="I17" s="305"/>
      <c r="J17" s="358"/>
      <c r="K17" s="511"/>
    </row>
    <row r="18" spans="1:11" ht="15" thickTop="1">
      <c r="A18" s="511"/>
      <c r="B18" s="358"/>
      <c r="C18" s="358"/>
      <c r="D18" s="358"/>
      <c r="E18" s="404"/>
      <c r="F18" s="358"/>
      <c r="G18" s="358"/>
      <c r="H18" s="358"/>
      <c r="I18" s="516"/>
      <c r="J18" s="358"/>
      <c r="K18" s="511"/>
    </row>
    <row r="19" spans="1:11" ht="21.5" thickBot="1">
      <c r="A19" s="511"/>
      <c r="B19" s="358"/>
      <c r="C19" s="296" t="s">
        <v>242</v>
      </c>
      <c r="D19" s="358"/>
      <c r="E19" s="404"/>
      <c r="F19" s="358"/>
      <c r="G19" s="358"/>
      <c r="H19" s="358"/>
      <c r="I19" s="516"/>
      <c r="J19" s="358"/>
      <c r="K19" s="511"/>
    </row>
    <row r="20" spans="1:11" ht="19" thickTop="1">
      <c r="A20" s="511"/>
      <c r="B20" s="358"/>
      <c r="C20" s="182"/>
      <c r="D20" s="183"/>
      <c r="E20" s="184"/>
      <c r="F20" s="183"/>
      <c r="G20" s="185"/>
      <c r="H20" s="185"/>
      <c r="I20" s="329" t="s">
        <v>239</v>
      </c>
      <c r="J20" s="358"/>
      <c r="K20" s="511"/>
    </row>
    <row r="21" spans="1:11">
      <c r="A21" s="511"/>
      <c r="B21" s="358"/>
      <c r="C21" s="186"/>
      <c r="D21" s="358"/>
      <c r="E21" s="404"/>
      <c r="F21" s="358"/>
      <c r="G21" s="65"/>
      <c r="H21" s="65"/>
      <c r="I21" s="304"/>
      <c r="J21" s="358"/>
      <c r="K21" s="511"/>
    </row>
    <row r="22" spans="1:11" ht="14.5" customHeight="1">
      <c r="A22" s="511"/>
      <c r="B22" s="62">
        <f>IF(AND(E24&lt;&gt;"",E26&lt;&gt;""),1,0)</f>
        <v>0</v>
      </c>
      <c r="C22" s="186"/>
      <c r="D22" s="474" t="s">
        <v>243</v>
      </c>
      <c r="E22" s="518"/>
      <c r="F22" s="358"/>
      <c r="G22" s="84"/>
      <c r="H22" s="84"/>
      <c r="I22" s="149" t="s">
        <v>1723</v>
      </c>
      <c r="J22" s="358"/>
      <c r="K22" s="511"/>
    </row>
    <row r="23" spans="1:11" ht="14.5" customHeight="1">
      <c r="A23" s="511"/>
      <c r="B23" s="358"/>
      <c r="C23" s="186"/>
      <c r="D23" s="358"/>
      <c r="E23" s="404"/>
      <c r="F23" s="358"/>
      <c r="G23" s="85"/>
      <c r="H23" s="85"/>
      <c r="I23" s="149" t="s">
        <v>1733</v>
      </c>
      <c r="J23" s="358"/>
      <c r="K23" s="511"/>
    </row>
    <row r="24" spans="1:11" ht="28.4" customHeight="1">
      <c r="A24" s="511"/>
      <c r="B24" s="358"/>
      <c r="C24" s="186"/>
      <c r="D24" s="514" t="s">
        <v>244</v>
      </c>
      <c r="E24" s="828"/>
      <c r="F24" s="417" t="s">
        <v>245</v>
      </c>
      <c r="G24" s="85"/>
      <c r="H24" s="85"/>
      <c r="I24" s="149" t="s">
        <v>1724</v>
      </c>
      <c r="J24" s="358"/>
      <c r="K24" s="511"/>
    </row>
    <row r="25" spans="1:11">
      <c r="A25" s="511"/>
      <c r="B25" s="358"/>
      <c r="C25" s="186"/>
      <c r="D25" s="474"/>
      <c r="E25" s="404"/>
      <c r="F25" s="358"/>
      <c r="G25" s="85"/>
      <c r="H25" s="85"/>
      <c r="I25" s="149"/>
      <c r="J25" s="358"/>
      <c r="K25" s="511"/>
    </row>
    <row r="26" spans="1:11" ht="14.5" customHeight="1">
      <c r="A26" s="511"/>
      <c r="B26" s="358"/>
      <c r="C26" s="186"/>
      <c r="D26" s="474" t="s">
        <v>246</v>
      </c>
      <c r="E26" s="517"/>
      <c r="F26" s="358" t="s">
        <v>247</v>
      </c>
      <c r="G26" s="92" t="s">
        <v>323</v>
      </c>
      <c r="H26" s="85"/>
      <c r="I26" s="149" t="s">
        <v>1735</v>
      </c>
      <c r="J26" s="358"/>
      <c r="K26" s="511"/>
    </row>
    <row r="27" spans="1:11" ht="43.5" customHeight="1">
      <c r="A27" s="511"/>
      <c r="B27" s="358"/>
      <c r="C27" s="186"/>
      <c r="D27" s="358"/>
      <c r="E27" s="404"/>
      <c r="F27" s="358"/>
      <c r="G27" s="85"/>
      <c r="H27" s="85"/>
      <c r="I27" s="149" t="s">
        <v>1736</v>
      </c>
      <c r="J27" s="358"/>
      <c r="K27" s="511"/>
    </row>
    <row r="28" spans="1:11" ht="15" thickBot="1">
      <c r="A28" s="511"/>
      <c r="B28" s="358"/>
      <c r="C28" s="187"/>
      <c r="D28" s="519"/>
      <c r="E28" s="520"/>
      <c r="F28" s="519"/>
      <c r="G28" s="87"/>
      <c r="H28" s="87"/>
      <c r="I28" s="250"/>
      <c r="J28" s="358"/>
      <c r="K28" s="511"/>
    </row>
    <row r="29" spans="1:11" ht="15" thickTop="1">
      <c r="A29" s="511"/>
      <c r="B29" s="358"/>
      <c r="C29" s="186"/>
      <c r="D29" s="358"/>
      <c r="E29" s="404"/>
      <c r="F29" s="358"/>
      <c r="G29" s="85"/>
      <c r="H29" s="85"/>
      <c r="I29" s="306"/>
      <c r="J29" s="358"/>
      <c r="K29" s="511"/>
    </row>
    <row r="30" spans="1:11" ht="14.15" customHeight="1">
      <c r="A30" s="511"/>
      <c r="B30" s="62">
        <f>IF(AND(E32&lt;&gt;"[Bitte auswählen]",F32&lt;&gt;"",G32&lt;&gt;""),1,0)</f>
        <v>0</v>
      </c>
      <c r="C30" s="186"/>
      <c r="D30" s="72" t="s">
        <v>248</v>
      </c>
      <c r="E30" s="321"/>
      <c r="F30" s="322" t="s">
        <v>249</v>
      </c>
      <c r="G30" s="322" t="s">
        <v>250</v>
      </c>
      <c r="H30" s="358"/>
      <c r="J30" s="358"/>
      <c r="K30" s="511"/>
    </row>
    <row r="31" spans="1:11">
      <c r="A31" s="511"/>
      <c r="B31" s="358"/>
      <c r="C31" s="186"/>
      <c r="D31" s="358"/>
      <c r="E31" s="321" t="s">
        <v>251</v>
      </c>
      <c r="F31" s="322" t="s">
        <v>252</v>
      </c>
      <c r="G31" s="322" t="s">
        <v>253</v>
      </c>
      <c r="H31" s="358"/>
      <c r="I31" s="148" t="s">
        <v>1320</v>
      </c>
      <c r="J31" s="358"/>
      <c r="K31" s="511"/>
    </row>
    <row r="32" spans="1:11" ht="29">
      <c r="A32" s="511"/>
      <c r="B32" s="358"/>
      <c r="C32" s="186"/>
      <c r="D32" s="514" t="s">
        <v>254</v>
      </c>
      <c r="E32" s="829" t="s">
        <v>128</v>
      </c>
      <c r="F32" s="830"/>
      <c r="G32" s="831"/>
      <c r="H32" s="358"/>
      <c r="I32" s="249" t="s">
        <v>1725</v>
      </c>
      <c r="J32" s="358"/>
      <c r="K32" s="511"/>
    </row>
    <row r="33" spans="1:11" ht="14.5" customHeight="1">
      <c r="A33" s="511"/>
      <c r="B33" s="358"/>
      <c r="C33" s="186"/>
      <c r="D33" s="474"/>
      <c r="E33" s="404"/>
      <c r="F33" s="358"/>
      <c r="G33" s="358"/>
      <c r="H33" s="358"/>
      <c r="J33" s="358"/>
      <c r="K33" s="511"/>
    </row>
    <row r="34" spans="1:11" ht="14.15" customHeight="1">
      <c r="A34" s="511"/>
      <c r="B34" s="358"/>
      <c r="C34" s="186"/>
      <c r="D34" s="474" t="s">
        <v>255</v>
      </c>
      <c r="E34" s="521" t="s">
        <v>128</v>
      </c>
      <c r="F34" s="522"/>
      <c r="G34" s="523"/>
      <c r="H34" s="358"/>
      <c r="I34" s="149" t="s">
        <v>256</v>
      </c>
      <c r="J34" s="358"/>
      <c r="K34" s="511"/>
    </row>
    <row r="35" spans="1:11" ht="14.5" customHeight="1">
      <c r="A35" s="511"/>
      <c r="B35" s="358"/>
      <c r="C35" s="186"/>
      <c r="D35" s="474"/>
      <c r="E35" s="404"/>
      <c r="F35" s="358"/>
      <c r="G35" s="358"/>
      <c r="H35" s="358"/>
      <c r="I35" s="149" t="s">
        <v>257</v>
      </c>
      <c r="J35" s="358"/>
      <c r="K35" s="511"/>
    </row>
    <row r="36" spans="1:11" ht="14.15" customHeight="1">
      <c r="A36" s="511"/>
      <c r="B36" s="358"/>
      <c r="C36" s="186"/>
      <c r="D36" s="474" t="s">
        <v>258</v>
      </c>
      <c r="E36" s="521" t="s">
        <v>128</v>
      </c>
      <c r="F36" s="522"/>
      <c r="G36" s="523"/>
      <c r="H36" s="358"/>
      <c r="I36" s="149" t="s">
        <v>259</v>
      </c>
      <c r="J36" s="358"/>
      <c r="K36" s="511"/>
    </row>
    <row r="37" spans="1:11">
      <c r="A37" s="511"/>
      <c r="B37" s="358"/>
      <c r="C37" s="186"/>
      <c r="D37" s="474"/>
      <c r="E37" s="404"/>
      <c r="F37" s="358"/>
      <c r="G37" s="358"/>
      <c r="H37" s="358"/>
      <c r="I37" s="149" t="s">
        <v>260</v>
      </c>
      <c r="J37" s="358"/>
      <c r="K37" s="511"/>
    </row>
    <row r="38" spans="1:11" ht="14.5" customHeight="1">
      <c r="A38" s="511"/>
      <c r="B38" s="358"/>
      <c r="C38" s="186"/>
      <c r="D38" s="474" t="s">
        <v>261</v>
      </c>
      <c r="E38" s="521" t="s">
        <v>128</v>
      </c>
      <c r="F38" s="522"/>
      <c r="G38" s="523"/>
      <c r="H38" s="358"/>
      <c r="I38" s="149"/>
      <c r="J38" s="358"/>
      <c r="K38" s="511"/>
    </row>
    <row r="39" spans="1:11" ht="14.5" customHeight="1">
      <c r="A39" s="511"/>
      <c r="B39" s="358"/>
      <c r="C39" s="186"/>
      <c r="D39" s="474"/>
      <c r="E39" s="404"/>
      <c r="F39" s="358"/>
      <c r="G39" s="358"/>
      <c r="H39" s="358"/>
      <c r="I39" s="149" t="s">
        <v>262</v>
      </c>
      <c r="J39" s="358"/>
      <c r="K39" s="511"/>
    </row>
    <row r="40" spans="1:11">
      <c r="A40" s="511"/>
      <c r="B40" s="358"/>
      <c r="C40" s="186"/>
      <c r="D40" s="474" t="s">
        <v>263</v>
      </c>
      <c r="E40" s="521" t="s">
        <v>128</v>
      </c>
      <c r="F40" s="522"/>
      <c r="G40" s="523"/>
      <c r="H40" s="358"/>
      <c r="I40" s="316" t="s">
        <v>264</v>
      </c>
      <c r="J40" s="358"/>
      <c r="K40" s="511"/>
    </row>
    <row r="41" spans="1:11">
      <c r="A41" s="511"/>
      <c r="B41" s="358"/>
      <c r="C41" s="186"/>
      <c r="D41" s="474"/>
      <c r="E41" s="404"/>
      <c r="F41" s="358"/>
      <c r="G41" s="358"/>
      <c r="H41" s="358"/>
      <c r="J41" s="358"/>
      <c r="K41" s="511"/>
    </row>
    <row r="42" spans="1:11">
      <c r="A42" s="511"/>
      <c r="B42" s="358"/>
      <c r="C42" s="186"/>
      <c r="D42" s="474" t="s">
        <v>265</v>
      </c>
      <c r="E42" s="521" t="s">
        <v>128</v>
      </c>
      <c r="F42" s="522"/>
      <c r="G42" s="523"/>
      <c r="H42" s="358"/>
      <c r="J42" s="358"/>
      <c r="K42" s="511"/>
    </row>
    <row r="43" spans="1:11">
      <c r="A43" s="511"/>
      <c r="B43" s="358"/>
      <c r="C43" s="186"/>
      <c r="D43" s="474"/>
      <c r="E43" s="404"/>
      <c r="F43" s="358"/>
      <c r="G43" s="358"/>
      <c r="H43" s="358"/>
      <c r="I43" s="149"/>
      <c r="J43" s="358"/>
      <c r="K43" s="511"/>
    </row>
    <row r="44" spans="1:11">
      <c r="A44" s="511"/>
      <c r="B44" s="358"/>
      <c r="C44" s="186"/>
      <c r="D44" s="474" t="s">
        <v>266</v>
      </c>
      <c r="E44" s="521" t="s">
        <v>128</v>
      </c>
      <c r="F44" s="522"/>
      <c r="G44" s="523"/>
      <c r="H44" s="358"/>
      <c r="I44" s="149"/>
      <c r="J44" s="358"/>
      <c r="K44" s="511"/>
    </row>
    <row r="45" spans="1:11" ht="15" thickBot="1">
      <c r="A45" s="511"/>
      <c r="B45" s="358"/>
      <c r="C45" s="187"/>
      <c r="D45" s="519"/>
      <c r="E45" s="520"/>
      <c r="F45" s="519"/>
      <c r="G45" s="87"/>
      <c r="H45" s="87"/>
      <c r="I45" s="330"/>
      <c r="J45" s="88"/>
      <c r="K45" s="511"/>
    </row>
    <row r="46" spans="1:11" ht="15" thickTop="1">
      <c r="A46" s="511"/>
      <c r="B46" s="358"/>
      <c r="C46" s="186"/>
      <c r="D46" s="358"/>
      <c r="E46" s="404"/>
      <c r="F46" s="358"/>
      <c r="G46" s="85"/>
      <c r="H46" s="85"/>
      <c r="I46" s="306"/>
      <c r="J46" s="84"/>
      <c r="K46" s="511"/>
    </row>
    <row r="47" spans="1:11" ht="14.5" customHeight="1">
      <c r="A47" s="511"/>
      <c r="B47" s="62">
        <f>IF(E49="[Bitte auswählen]",0,1)</f>
        <v>0</v>
      </c>
      <c r="C47" s="186"/>
      <c r="D47" s="72" t="s">
        <v>267</v>
      </c>
      <c r="E47" s="404"/>
      <c r="F47" s="358"/>
      <c r="G47" s="85"/>
      <c r="H47" s="85"/>
      <c r="I47" s="325" t="s">
        <v>268</v>
      </c>
      <c r="J47" s="84"/>
      <c r="K47" s="511"/>
    </row>
    <row r="48" spans="1:11" ht="29">
      <c r="A48" s="511"/>
      <c r="B48" s="358"/>
      <c r="C48" s="186"/>
      <c r="D48" s="358"/>
      <c r="E48" s="321" t="s">
        <v>251</v>
      </c>
      <c r="F48" s="322" t="s">
        <v>269</v>
      </c>
      <c r="G48" s="322" t="s">
        <v>228</v>
      </c>
      <c r="H48" s="331" t="s">
        <v>270</v>
      </c>
      <c r="I48" s="149"/>
      <c r="J48" s="84"/>
      <c r="K48" s="511"/>
    </row>
    <row r="49" spans="1:11" ht="14.5" customHeight="1">
      <c r="A49" s="511"/>
      <c r="B49" s="358"/>
      <c r="C49" s="186"/>
      <c r="D49" s="474" t="s">
        <v>271</v>
      </c>
      <c r="E49" s="841" t="s">
        <v>128</v>
      </c>
      <c r="F49" s="332"/>
      <c r="G49" s="333" t="str">
        <f>IFERROR(VLOOKUP(E49,Emissionsfaktoren_Prozesse!$D$108:$R$156,3,FALSE),"")</f>
        <v/>
      </c>
      <c r="H49" s="334"/>
      <c r="I49" s="325" t="s">
        <v>272</v>
      </c>
      <c r="J49" s="84"/>
      <c r="K49" s="511"/>
    </row>
    <row r="50" spans="1:11" ht="14.5" customHeight="1">
      <c r="A50" s="511"/>
      <c r="B50" s="358"/>
      <c r="C50" s="186"/>
      <c r="D50" s="474"/>
      <c r="E50" s="533"/>
      <c r="F50" s="65"/>
      <c r="G50" s="335"/>
      <c r="H50" s="65"/>
      <c r="I50" s="325" t="s">
        <v>1727</v>
      </c>
      <c r="J50" s="84"/>
      <c r="K50" s="511"/>
    </row>
    <row r="51" spans="1:11">
      <c r="A51" s="511"/>
      <c r="B51" s="358"/>
      <c r="C51" s="186"/>
      <c r="D51" s="474" t="s">
        <v>273</v>
      </c>
      <c r="E51" s="841" t="s">
        <v>128</v>
      </c>
      <c r="F51" s="332"/>
      <c r="G51" s="333" t="str">
        <f>IFERROR(VLOOKUP(E51,Emissionsfaktoren_Prozesse!$D$108:$R$156,3,FALSE),"")</f>
        <v/>
      </c>
      <c r="H51" s="334"/>
      <c r="I51" s="149"/>
      <c r="J51" s="84"/>
      <c r="K51" s="511"/>
    </row>
    <row r="52" spans="1:11">
      <c r="A52" s="511"/>
      <c r="B52" s="358"/>
      <c r="C52" s="186"/>
      <c r="D52" s="474"/>
      <c r="E52" s="533"/>
      <c r="F52" s="65"/>
      <c r="G52" s="335"/>
      <c r="H52" s="65"/>
      <c r="I52" s="325" t="s">
        <v>274</v>
      </c>
      <c r="J52" s="84"/>
      <c r="K52" s="511"/>
    </row>
    <row r="53" spans="1:11">
      <c r="A53" s="511"/>
      <c r="B53" s="358"/>
      <c r="C53" s="186"/>
      <c r="D53" s="474" t="s">
        <v>275</v>
      </c>
      <c r="E53" s="841" t="s">
        <v>128</v>
      </c>
      <c r="F53" s="332"/>
      <c r="G53" s="333" t="str">
        <f>IFERROR(VLOOKUP(E53,Emissionsfaktoren_Prozesse!$D$108:$R$156,3,FALSE),"")</f>
        <v/>
      </c>
      <c r="H53" s="334"/>
      <c r="I53" s="149"/>
      <c r="J53" s="84"/>
      <c r="K53" s="511"/>
    </row>
    <row r="54" spans="1:11" ht="14.5" customHeight="1">
      <c r="A54" s="511"/>
      <c r="B54" s="358"/>
      <c r="C54" s="186"/>
      <c r="D54" s="474"/>
      <c r="E54" s="533"/>
      <c r="F54" s="65"/>
      <c r="G54" s="335"/>
      <c r="H54" s="65"/>
      <c r="I54" s="325" t="s">
        <v>1726</v>
      </c>
      <c r="J54" s="84"/>
      <c r="K54" s="511"/>
    </row>
    <row r="55" spans="1:11" ht="14.5" customHeight="1">
      <c r="A55" s="511"/>
      <c r="B55" s="358"/>
      <c r="C55" s="186"/>
      <c r="D55" s="474" t="s">
        <v>276</v>
      </c>
      <c r="E55" s="841" t="s">
        <v>128</v>
      </c>
      <c r="F55" s="332"/>
      <c r="G55" s="333" t="str">
        <f>IFERROR(VLOOKUP(E55,Emissionsfaktoren_Prozesse!$D$108:$R$156,3,FALSE),"")</f>
        <v/>
      </c>
      <c r="H55" s="334"/>
      <c r="I55" s="325" t="s">
        <v>1732</v>
      </c>
      <c r="J55" s="84"/>
      <c r="K55" s="511"/>
    </row>
    <row r="56" spans="1:11">
      <c r="A56" s="511"/>
      <c r="B56" s="358"/>
      <c r="C56" s="186"/>
      <c r="D56" s="474"/>
      <c r="E56" s="533"/>
      <c r="F56" s="65"/>
      <c r="G56" s="335"/>
      <c r="H56" s="65"/>
      <c r="I56" s="149"/>
      <c r="J56" s="84"/>
      <c r="K56" s="511"/>
    </row>
    <row r="57" spans="1:11" ht="14.65" customHeight="1">
      <c r="A57" s="511"/>
      <c r="B57" s="358"/>
      <c r="C57" s="186"/>
      <c r="D57" s="474" t="s">
        <v>277</v>
      </c>
      <c r="E57" s="841" t="s">
        <v>128</v>
      </c>
      <c r="F57" s="332"/>
      <c r="G57" s="333" t="str">
        <f>IFERROR(VLOOKUP(E57,Emissionsfaktoren_Prozesse!$D$108:$R$156,3,FALSE),"")</f>
        <v/>
      </c>
      <c r="H57" s="334"/>
      <c r="I57" s="325" t="s">
        <v>278</v>
      </c>
      <c r="J57" s="84"/>
      <c r="K57" s="511"/>
    </row>
    <row r="58" spans="1:11" ht="14.25" customHeight="1">
      <c r="A58" s="511"/>
      <c r="B58" s="358"/>
      <c r="C58" s="186"/>
      <c r="D58" s="474"/>
      <c r="E58" s="533"/>
      <c r="F58" s="65"/>
      <c r="G58" s="335"/>
      <c r="H58" s="65"/>
      <c r="I58" s="325" t="s">
        <v>1850</v>
      </c>
      <c r="J58" s="84"/>
      <c r="K58" s="511"/>
    </row>
    <row r="59" spans="1:11">
      <c r="A59" s="511"/>
      <c r="B59" s="358"/>
      <c r="C59" s="186"/>
      <c r="D59" s="474" t="s">
        <v>279</v>
      </c>
      <c r="E59" s="841" t="s">
        <v>128</v>
      </c>
      <c r="F59" s="332"/>
      <c r="G59" s="333" t="str">
        <f>IFERROR(VLOOKUP(E59,Emissionsfaktoren_Prozesse!$D$108:$R$156,3,FALSE),"")</f>
        <v/>
      </c>
      <c r="H59" s="334"/>
      <c r="I59" s="404"/>
      <c r="J59" s="84"/>
      <c r="K59" s="511"/>
    </row>
    <row r="60" spans="1:11" ht="14.25" customHeight="1">
      <c r="A60" s="511"/>
      <c r="B60" s="358"/>
      <c r="C60" s="186"/>
      <c r="D60" s="474"/>
      <c r="E60" s="533"/>
      <c r="F60" s="65"/>
      <c r="G60" s="335"/>
      <c r="H60" s="65"/>
      <c r="I60" s="325" t="s">
        <v>280</v>
      </c>
      <c r="J60" s="84"/>
      <c r="K60" s="511"/>
    </row>
    <row r="61" spans="1:11">
      <c r="A61" s="511"/>
      <c r="B61" s="358"/>
      <c r="C61" s="186"/>
      <c r="D61" s="474" t="s">
        <v>281</v>
      </c>
      <c r="E61" s="841" t="s">
        <v>128</v>
      </c>
      <c r="F61" s="332"/>
      <c r="G61" s="333" t="str">
        <f>IFERROR(VLOOKUP(E61,Emissionsfaktoren_Prozesse!$D$108:$R$156,3,FALSE),"")</f>
        <v/>
      </c>
      <c r="H61" s="334"/>
      <c r="I61" s="326" t="s">
        <v>282</v>
      </c>
      <c r="J61" s="84"/>
      <c r="K61" s="511"/>
    </row>
    <row r="62" spans="1:11">
      <c r="A62" s="511"/>
      <c r="B62" s="358"/>
      <c r="C62" s="186"/>
      <c r="D62" s="358"/>
      <c r="E62" s="404"/>
      <c r="F62" s="358"/>
      <c r="G62" s="85"/>
      <c r="H62" s="85"/>
      <c r="I62" s="149"/>
      <c r="J62" s="84"/>
      <c r="K62" s="511"/>
    </row>
    <row r="63" spans="1:11" ht="15" thickBot="1">
      <c r="A63" s="511"/>
      <c r="B63" s="358"/>
      <c r="C63" s="188"/>
      <c r="D63" s="189"/>
      <c r="E63" s="190"/>
      <c r="F63" s="189"/>
      <c r="G63" s="191"/>
      <c r="H63" s="191"/>
      <c r="I63" s="307"/>
      <c r="J63" s="358"/>
      <c r="K63" s="511"/>
    </row>
    <row r="64" spans="1:11" ht="15" thickTop="1">
      <c r="A64" s="511"/>
      <c r="B64" s="358"/>
      <c r="C64" s="358"/>
      <c r="D64" s="358"/>
      <c r="E64" s="404"/>
      <c r="F64" s="358"/>
      <c r="G64" s="358"/>
      <c r="H64" s="358"/>
      <c r="I64" s="516"/>
      <c r="J64" s="358"/>
      <c r="K64" s="511"/>
    </row>
    <row r="65" spans="1:11" ht="21.5" thickBot="1">
      <c r="A65" s="511"/>
      <c r="B65" s="358"/>
      <c r="C65" s="296" t="s">
        <v>283</v>
      </c>
      <c r="D65" s="358"/>
      <c r="E65" s="404"/>
      <c r="F65" s="358"/>
      <c r="G65" s="358"/>
      <c r="H65" s="358"/>
      <c r="I65" s="516"/>
      <c r="J65" s="358"/>
      <c r="K65" s="511"/>
    </row>
    <row r="66" spans="1:11" ht="19" thickTop="1">
      <c r="A66" s="511"/>
      <c r="B66" s="358"/>
      <c r="C66" s="182"/>
      <c r="D66" s="183"/>
      <c r="E66" s="184"/>
      <c r="F66" s="183"/>
      <c r="G66" s="185"/>
      <c r="H66" s="185"/>
      <c r="I66" s="329" t="s">
        <v>239</v>
      </c>
      <c r="J66" s="358"/>
      <c r="K66" s="511"/>
    </row>
    <row r="67" spans="1:11" ht="18.5">
      <c r="A67" s="511"/>
      <c r="B67" s="358"/>
      <c r="C67" s="186"/>
      <c r="D67" s="62"/>
      <c r="E67" s="117"/>
      <c r="F67" s="62"/>
      <c r="G67" s="210"/>
      <c r="H67" s="210"/>
      <c r="I67" s="308"/>
      <c r="J67" s="358"/>
      <c r="K67" s="511"/>
    </row>
    <row r="68" spans="1:11" ht="14.5" customHeight="1">
      <c r="A68" s="511"/>
      <c r="B68" s="62">
        <f>IF(AND(E73&lt;&gt;"[Bitte auswählen]",F73&lt;&gt;""),1,0)</f>
        <v>0</v>
      </c>
      <c r="C68" s="186"/>
      <c r="D68" s="313" t="s">
        <v>1921</v>
      </c>
      <c r="E68" s="421"/>
      <c r="F68" s="524" t="s">
        <v>284</v>
      </c>
      <c r="G68" s="833"/>
      <c r="H68" s="833"/>
      <c r="I68" s="327" t="s">
        <v>285</v>
      </c>
      <c r="J68" s="358"/>
      <c r="K68" s="511"/>
    </row>
    <row r="69" spans="1:11" ht="14.15" customHeight="1">
      <c r="A69" s="511"/>
      <c r="B69" s="358"/>
      <c r="C69" s="186"/>
      <c r="D69" s="313" t="s">
        <v>1776</v>
      </c>
      <c r="E69" s="525"/>
      <c r="F69" s="839" t="s">
        <v>1757</v>
      </c>
      <c r="G69" s="832" t="s">
        <v>286</v>
      </c>
      <c r="H69" s="833"/>
      <c r="I69" s="327" t="s">
        <v>1777</v>
      </c>
      <c r="J69" s="358"/>
      <c r="K69" s="511"/>
    </row>
    <row r="70" spans="1:11" ht="43.5">
      <c r="A70" s="511"/>
      <c r="B70" s="358"/>
      <c r="C70" s="186"/>
      <c r="D70" s="838" t="s">
        <v>401</v>
      </c>
      <c r="E70" s="588">
        <f>IF(E69="",E68,E68*E69)</f>
        <v>0</v>
      </c>
      <c r="F70" s="526" t="str">
        <f>IF(F69="",F68,F69)</f>
        <v>Stunden</v>
      </c>
      <c r="G70" s="84"/>
      <c r="H70" s="84"/>
      <c r="I70" s="149" t="s">
        <v>1728</v>
      </c>
      <c r="J70" s="358"/>
      <c r="K70" s="511"/>
    </row>
    <row r="71" spans="1:11">
      <c r="A71" s="511"/>
      <c r="B71" s="358"/>
      <c r="C71" s="186"/>
      <c r="D71" s="110"/>
      <c r="E71" s="404"/>
      <c r="F71" s="358"/>
      <c r="G71" s="85"/>
      <c r="H71" s="85"/>
      <c r="I71" s="149"/>
      <c r="J71" s="358"/>
      <c r="K71" s="511"/>
    </row>
    <row r="72" spans="1:11">
      <c r="A72" s="511"/>
      <c r="B72" s="358"/>
      <c r="C72" s="186"/>
      <c r="D72" s="110"/>
      <c r="E72" s="321" t="s">
        <v>287</v>
      </c>
      <c r="F72" s="72" t="s">
        <v>1729</v>
      </c>
      <c r="G72" s="85"/>
      <c r="H72" s="85"/>
      <c r="I72" s="149"/>
      <c r="J72" s="358"/>
      <c r="K72" s="511"/>
    </row>
    <row r="73" spans="1:11" ht="14.5" customHeight="1">
      <c r="A73" s="511"/>
      <c r="B73" s="358"/>
      <c r="C73" s="186"/>
      <c r="D73" s="313" t="s">
        <v>288</v>
      </c>
      <c r="E73" s="527" t="s">
        <v>128</v>
      </c>
      <c r="F73" s="855"/>
      <c r="G73" s="528" t="str">
        <f>IFERROR(VLOOKUP(E73,Emissionsfaktoren_Prozesse!$E$4:$F$103,2,FALSE),"")</f>
        <v/>
      </c>
      <c r="H73" s="529" t="s">
        <v>289</v>
      </c>
      <c r="I73" s="149" t="s">
        <v>290</v>
      </c>
      <c r="J73" s="358"/>
      <c r="K73" s="511"/>
    </row>
    <row r="74" spans="1:11" ht="14.15" customHeight="1">
      <c r="A74" s="511"/>
      <c r="B74" s="358"/>
      <c r="C74" s="186"/>
      <c r="D74" s="313" t="s">
        <v>288</v>
      </c>
      <c r="E74" s="527" t="s">
        <v>128</v>
      </c>
      <c r="F74" s="855"/>
      <c r="G74" s="528" t="str">
        <f>IFERROR(VLOOKUP(E74,Emissionsfaktoren_Prozesse!$E$4:$F$103,2,FALSE),"")</f>
        <v/>
      </c>
      <c r="H74" s="529" t="s">
        <v>289</v>
      </c>
      <c r="I74" s="66" t="s">
        <v>1875</v>
      </c>
      <c r="J74" s="358"/>
      <c r="K74" s="511"/>
    </row>
    <row r="75" spans="1:11" ht="14.15" customHeight="1">
      <c r="A75" s="511"/>
      <c r="B75" s="358"/>
      <c r="C75" s="186"/>
      <c r="D75" s="313" t="s">
        <v>288</v>
      </c>
      <c r="E75" s="527" t="s">
        <v>128</v>
      </c>
      <c r="F75" s="855"/>
      <c r="G75" s="528" t="str">
        <f>IFERROR(VLOOKUP(E75,Emissionsfaktoren_Prozesse!$E$4:$F$103,2,FALSE),"")</f>
        <v/>
      </c>
      <c r="H75" s="529" t="s">
        <v>289</v>
      </c>
      <c r="I75" s="149"/>
      <c r="J75" s="358"/>
      <c r="K75" s="511"/>
    </row>
    <row r="76" spans="1:11" ht="15" thickBot="1">
      <c r="A76" s="511"/>
      <c r="B76" s="358"/>
      <c r="C76" s="187"/>
      <c r="D76" s="519"/>
      <c r="E76" s="520"/>
      <c r="F76" s="519"/>
      <c r="G76" s="87"/>
      <c r="H76" s="87"/>
      <c r="I76" s="309"/>
      <c r="J76" s="358"/>
      <c r="K76" s="511"/>
    </row>
    <row r="77" spans="1:11" ht="15" thickTop="1">
      <c r="A77" s="511"/>
      <c r="B77" s="358"/>
      <c r="C77" s="186"/>
      <c r="D77" s="358"/>
      <c r="E77" s="404"/>
      <c r="F77" s="358"/>
      <c r="G77" s="85"/>
      <c r="H77" s="85"/>
      <c r="I77" s="249"/>
      <c r="J77" s="358"/>
      <c r="K77" s="511"/>
    </row>
    <row r="78" spans="1:11">
      <c r="A78" s="511"/>
      <c r="B78" s="62">
        <f>IF(E80="[Bitte auswählen]",0,1)</f>
        <v>0</v>
      </c>
      <c r="C78" s="186"/>
      <c r="D78" s="311" t="s">
        <v>291</v>
      </c>
      <c r="E78" s="404"/>
      <c r="F78" s="358"/>
      <c r="G78" s="358"/>
      <c r="H78" s="85"/>
      <c r="I78" s="149"/>
      <c r="J78" s="358"/>
      <c r="K78" s="511"/>
    </row>
    <row r="79" spans="1:11" ht="54.5" customHeight="1">
      <c r="A79" s="511"/>
      <c r="B79" s="62"/>
      <c r="C79" s="186"/>
      <c r="D79" s="311"/>
      <c r="E79" s="321" t="s">
        <v>251</v>
      </c>
      <c r="F79" s="321" t="s">
        <v>1922</v>
      </c>
      <c r="G79" s="72" t="s">
        <v>292</v>
      </c>
      <c r="H79" s="85"/>
      <c r="I79" s="149" t="s">
        <v>1923</v>
      </c>
      <c r="J79" s="358"/>
      <c r="K79" s="511"/>
    </row>
    <row r="80" spans="1:11" ht="43.5">
      <c r="A80" s="511"/>
      <c r="B80" s="358"/>
      <c r="C80" s="186"/>
      <c r="D80" s="474" t="s">
        <v>271</v>
      </c>
      <c r="E80" s="517" t="s">
        <v>128</v>
      </c>
      <c r="F80" s="522"/>
      <c r="G80" s="511">
        <f>IFERROR(VLOOKUP(E80,Emissionsfaktoren_Lebenszyklus!$C$5:$J$17,6,FALSE),0)*F80</f>
        <v>0</v>
      </c>
      <c r="H80" s="65" t="s">
        <v>293</v>
      </c>
      <c r="I80" s="118" t="s">
        <v>1731</v>
      </c>
      <c r="J80" s="358"/>
      <c r="K80" s="511"/>
    </row>
    <row r="81" spans="1:11">
      <c r="A81" s="511"/>
      <c r="B81" s="358"/>
      <c r="C81" s="186"/>
      <c r="D81" s="474"/>
      <c r="E81" s="404"/>
      <c r="F81" s="358"/>
      <c r="G81" s="358"/>
      <c r="H81" s="65"/>
      <c r="I81" s="404"/>
      <c r="J81" s="358"/>
      <c r="K81" s="511"/>
    </row>
    <row r="82" spans="1:11" ht="43.5">
      <c r="A82" s="511"/>
      <c r="B82" s="358"/>
      <c r="C82" s="186"/>
      <c r="D82" s="474" t="s">
        <v>273</v>
      </c>
      <c r="E82" s="517" t="s">
        <v>128</v>
      </c>
      <c r="F82" s="522"/>
      <c r="G82" s="511">
        <f>IFERROR(VLOOKUP(E82,Emissionsfaktoren_Lebenszyklus!$C$5:$J$17,6,FALSE),0)*F82</f>
        <v>0</v>
      </c>
      <c r="H82" s="65" t="s">
        <v>293</v>
      </c>
      <c r="I82" s="149" t="s">
        <v>1730</v>
      </c>
      <c r="J82" s="358"/>
      <c r="K82" s="511"/>
    </row>
    <row r="83" spans="1:11" ht="14.5" customHeight="1">
      <c r="A83" s="511"/>
      <c r="B83" s="358"/>
      <c r="C83" s="186"/>
      <c r="D83" s="474"/>
      <c r="E83" s="404"/>
      <c r="F83" s="358"/>
      <c r="G83" s="358"/>
      <c r="H83" s="65"/>
      <c r="I83" s="404"/>
      <c r="J83" s="358"/>
      <c r="K83" s="511"/>
    </row>
    <row r="84" spans="1:11">
      <c r="A84" s="511"/>
      <c r="B84" s="358"/>
      <c r="C84" s="186"/>
      <c r="D84" s="474" t="s">
        <v>275</v>
      </c>
      <c r="E84" s="517" t="s">
        <v>128</v>
      </c>
      <c r="F84" s="522"/>
      <c r="G84" s="511">
        <f>IFERROR(VLOOKUP(E84,Emissionsfaktoren_Lebenszyklus!$C$5:$J$17,6,FALSE),0)*F84</f>
        <v>0</v>
      </c>
      <c r="H84" s="65" t="s">
        <v>293</v>
      </c>
      <c r="I84" s="149" t="s">
        <v>294</v>
      </c>
      <c r="J84" s="358"/>
      <c r="K84" s="511"/>
    </row>
    <row r="85" spans="1:11">
      <c r="A85" s="511"/>
      <c r="B85" s="358"/>
      <c r="C85" s="186"/>
      <c r="D85" s="474"/>
      <c r="E85" s="404"/>
      <c r="F85" s="358"/>
      <c r="G85" s="358"/>
      <c r="H85" s="65"/>
      <c r="I85" s="149"/>
      <c r="J85" s="358"/>
      <c r="K85" s="511"/>
    </row>
    <row r="86" spans="1:11" ht="14.5" customHeight="1">
      <c r="A86" s="511"/>
      <c r="B86" s="358"/>
      <c r="C86" s="186"/>
      <c r="D86" s="474" t="s">
        <v>276</v>
      </c>
      <c r="E86" s="517" t="s">
        <v>128</v>
      </c>
      <c r="F86" s="522"/>
      <c r="G86" s="511">
        <f>IFERROR(VLOOKUP(E86,Emissionsfaktoren_Lebenszyklus!$C$5:$J$17,6,FALSE),0)*F86</f>
        <v>0</v>
      </c>
      <c r="H86" s="65" t="s">
        <v>293</v>
      </c>
      <c r="I86" s="149"/>
      <c r="J86" s="358"/>
      <c r="K86" s="511"/>
    </row>
    <row r="87" spans="1:11" ht="14.5" customHeight="1">
      <c r="A87" s="511"/>
      <c r="B87" s="358"/>
      <c r="C87" s="186"/>
      <c r="D87" s="474"/>
      <c r="E87" s="404"/>
      <c r="F87" s="358"/>
      <c r="G87" s="358"/>
      <c r="H87" s="65"/>
      <c r="I87" s="149"/>
      <c r="J87" s="358"/>
      <c r="K87" s="511"/>
    </row>
    <row r="88" spans="1:11">
      <c r="A88" s="511"/>
      <c r="B88" s="358"/>
      <c r="C88" s="186"/>
      <c r="D88" s="474" t="s">
        <v>277</v>
      </c>
      <c r="E88" s="517" t="s">
        <v>128</v>
      </c>
      <c r="F88" s="522"/>
      <c r="G88" s="511">
        <f>IFERROR(VLOOKUP(E88,Emissionsfaktoren_Lebenszyklus!$C$5:$J$17,6,FALSE),0)*F88</f>
        <v>0</v>
      </c>
      <c r="H88" s="65" t="s">
        <v>293</v>
      </c>
      <c r="I88" s="149"/>
      <c r="J88" s="358"/>
      <c r="K88" s="511"/>
    </row>
    <row r="89" spans="1:11">
      <c r="A89" s="511"/>
      <c r="B89" s="358"/>
      <c r="C89" s="186"/>
      <c r="D89" s="474"/>
      <c r="E89" s="404"/>
      <c r="F89" s="358"/>
      <c r="G89" s="358"/>
      <c r="H89" s="65"/>
      <c r="I89" s="149"/>
      <c r="J89" s="358"/>
      <c r="K89" s="511"/>
    </row>
    <row r="90" spans="1:11">
      <c r="A90" s="511"/>
      <c r="B90" s="358"/>
      <c r="C90" s="186"/>
      <c r="D90" s="474" t="s">
        <v>279</v>
      </c>
      <c r="E90" s="517" t="s">
        <v>128</v>
      </c>
      <c r="F90" s="522"/>
      <c r="G90" s="511">
        <f>IFERROR(VLOOKUP(E90,Emissionsfaktoren_Lebenszyklus!$C$5:$J$17,6,FALSE),0)*F90</f>
        <v>0</v>
      </c>
      <c r="H90" s="65" t="s">
        <v>293</v>
      </c>
      <c r="I90" s="149"/>
      <c r="J90" s="358"/>
      <c r="K90" s="511"/>
    </row>
    <row r="91" spans="1:11">
      <c r="A91" s="511"/>
      <c r="B91" s="358"/>
      <c r="C91" s="186"/>
      <c r="D91" s="474"/>
      <c r="E91" s="404"/>
      <c r="F91" s="358"/>
      <c r="G91" s="358"/>
      <c r="H91" s="65"/>
      <c r="I91" s="149"/>
      <c r="J91" s="358"/>
      <c r="K91" s="511"/>
    </row>
    <row r="92" spans="1:11">
      <c r="A92" s="511"/>
      <c r="B92" s="358"/>
      <c r="C92" s="186"/>
      <c r="D92" s="474" t="s">
        <v>281</v>
      </c>
      <c r="E92" s="517" t="s">
        <v>128</v>
      </c>
      <c r="F92" s="522"/>
      <c r="G92" s="511">
        <f>IFERROR(VLOOKUP(E92,Emissionsfaktoren_Lebenszyklus!$C$5:$J$17,6,FALSE),0)*F92</f>
        <v>0</v>
      </c>
      <c r="H92" s="65" t="s">
        <v>293</v>
      </c>
      <c r="I92" s="149"/>
      <c r="J92" s="358"/>
      <c r="K92" s="511"/>
    </row>
    <row r="93" spans="1:11">
      <c r="A93" s="511"/>
      <c r="B93" s="358"/>
      <c r="C93" s="186"/>
      <c r="D93" s="474"/>
      <c r="E93" s="404"/>
      <c r="F93" s="358"/>
      <c r="G93" s="358"/>
      <c r="H93" s="65"/>
      <c r="I93" s="149"/>
      <c r="J93" s="358"/>
      <c r="K93" s="511"/>
    </row>
    <row r="94" spans="1:11">
      <c r="A94" s="511"/>
      <c r="B94" s="358"/>
      <c r="C94" s="186"/>
      <c r="D94" s="474" t="s">
        <v>295</v>
      </c>
      <c r="E94" s="517" t="s">
        <v>128</v>
      </c>
      <c r="F94" s="522"/>
      <c r="G94" s="511">
        <f>IFERROR(VLOOKUP(E94,Emissionsfaktoren_Lebenszyklus!$C$5:$J$17,6,FALSE),0)*F94</f>
        <v>0</v>
      </c>
      <c r="H94" s="65" t="s">
        <v>293</v>
      </c>
      <c r="I94" s="149"/>
      <c r="J94" s="358"/>
      <c r="K94" s="511"/>
    </row>
    <row r="95" spans="1:11">
      <c r="A95" s="511"/>
      <c r="B95" s="358"/>
      <c r="C95" s="186"/>
      <c r="D95" s="358"/>
      <c r="E95" s="404"/>
      <c r="F95" s="358"/>
      <c r="G95" s="86"/>
      <c r="H95" s="86"/>
      <c r="I95" s="149"/>
      <c r="J95" s="358"/>
      <c r="K95" s="511"/>
    </row>
    <row r="96" spans="1:11" ht="15" thickBot="1">
      <c r="A96" s="511"/>
      <c r="B96" s="358"/>
      <c r="C96" s="188"/>
      <c r="D96" s="189"/>
      <c r="E96" s="190"/>
      <c r="F96" s="189"/>
      <c r="G96" s="191"/>
      <c r="H96" s="191"/>
      <c r="I96" s="310"/>
      <c r="J96" s="358"/>
      <c r="K96" s="511"/>
    </row>
    <row r="97" spans="1:11" ht="15" thickTop="1">
      <c r="A97" s="511"/>
      <c r="B97" s="358"/>
      <c r="C97" s="358"/>
      <c r="D97" s="358"/>
      <c r="E97" s="404"/>
      <c r="F97" s="358"/>
      <c r="G97" s="358"/>
      <c r="H97" s="358"/>
      <c r="I97" s="484"/>
      <c r="J97" s="358"/>
      <c r="K97" s="511"/>
    </row>
    <row r="98" spans="1:11" ht="14.5" customHeight="1">
      <c r="A98" s="511"/>
      <c r="B98" s="511"/>
      <c r="C98" s="511"/>
      <c r="D98" s="511"/>
      <c r="E98" s="512"/>
      <c r="F98" s="511"/>
      <c r="G98" s="511"/>
      <c r="H98" s="511"/>
      <c r="I98" s="513"/>
      <c r="J98" s="511"/>
      <c r="K98" s="511"/>
    </row>
  </sheetData>
  <hyperlinks>
    <hyperlink ref="I40" r:id="rId1" xr:uid="{AB674B14-AF2D-42AA-B549-CBCE82D6D57E}"/>
    <hyperlink ref="I61" r:id="rId2" xr:uid="{4ACFC3CE-8280-4C37-803A-0153935C2E07}"/>
    <hyperlink ref="H3" location="'Aufbau LCC-CO2-Tool'!A1" display="zurück zur Übersicht" xr:uid="{1D3906D1-1F8B-493D-9A98-E3AAAA3912CF}"/>
    <hyperlink ref="H4" location="'Anleitung für Beschaffende'!A18" display="zurück zur Anleitung für Beschaffende " xr:uid="{E110DB81-2170-44B4-8564-C53CD075E676}"/>
    <hyperlink ref="H5" location="'Anleitung für Bietende'!A14" display="zurück zur Anleitung für Bietende" xr:uid="{05C639F8-1223-4CF7-B462-58AE60B3B256}"/>
  </hyperlinks>
  <pageMargins left="0.70866141732283472" right="0.70866141732283472" top="0.78740157480314965" bottom="0.78740157480314965" header="0.31496062992125984" footer="0.31496062992125984"/>
  <pageSetup paperSize="9" scale="38" orientation="portrait" r:id="rId3"/>
  <headerFooter>
    <oddHeader>&amp;C&amp;14&amp;KFF0000TESTVERSION!</oddHeader>
    <oddFooter>&amp;L&amp;8&amp;K000000LCC-CO2-Tool - Arbeitshilfe des Umweltbundesamtes&amp;C&amp;8Berechnung der THG-Emissionen &amp;Umit&amp;U Zertifikat&amp;R&amp;8&amp;P</oddFooter>
  </headerFooter>
  <drawing r:id="rId4"/>
  <legacyDrawing r:id="rId5"/>
  <extLst>
    <ext xmlns:x14="http://schemas.microsoft.com/office/spreadsheetml/2009/9/main" uri="{CCE6A557-97BC-4b89-ADB6-D9C93CAAB3DF}">
      <x14:dataValidations xmlns:xm="http://schemas.microsoft.com/office/excel/2006/main" count="4">
        <x14:dataValidation type="list" allowBlank="1" showInputMessage="1" xr:uid="{1F409EF7-B3B1-4A5A-9394-FC17B6B1B703}">
          <x14:formula1>
            <xm:f>Emissionsfaktoren_Prozesse!$D$106:$D$156</xm:f>
          </x14:formula1>
          <xm:sqref>E61 E59 E57 E55 E53 E51 E49</xm:sqref>
        </x14:dataValidation>
        <x14:dataValidation type="list" allowBlank="1" showInputMessage="1" xr:uid="{42BCE58E-D38A-41CC-A828-B15D919AB941}">
          <x14:formula1>
            <xm:f>Emissionsfaktoren_Prozesse!$E$3:$E$103</xm:f>
          </x14:formula1>
          <xm:sqref>E73:E75</xm:sqref>
        </x14:dataValidation>
        <x14:dataValidation type="list" allowBlank="1" showInputMessage="1" showErrorMessage="1" xr:uid="{EB448192-9579-4CB6-9AB5-C52C2B5359B5}">
          <x14:formula1>
            <xm:f>Emissionsfaktoren_Prozesse!$D$159:$D$183</xm:f>
          </x14:formula1>
          <xm:sqref>E32 E44 E42 E40 E38 E36 E34</xm:sqref>
        </x14:dataValidation>
        <x14:dataValidation type="list" allowBlank="1" showInputMessage="1" xr:uid="{F0F84E37-E726-4F0F-B266-DECB269C3817}">
          <x14:formula1>
            <xm:f>Emissionsfaktoren_Lebenszyklus!$C$3:$C$17</xm:f>
          </x14:formula1>
          <xm:sqref>E80 E94 E92 E90 E88 E86 E84 E82</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tabColor rgb="FFBCE4A7"/>
    <pageSetUpPr fitToPage="1"/>
  </sheetPr>
  <dimension ref="A1:N127"/>
  <sheetViews>
    <sheetView showGridLines="0" zoomScale="70" zoomScaleNormal="70" workbookViewId="0">
      <selection activeCell="F8" sqref="F8"/>
    </sheetView>
  </sheetViews>
  <sheetFormatPr baseColWidth="10" defaultColWidth="11.08203125" defaultRowHeight="14.5"/>
  <cols>
    <col min="1" max="1" width="2.08203125" style="55" customWidth="1"/>
    <col min="2" max="2" width="3.58203125" style="62" customWidth="1"/>
    <col min="3" max="3" width="2.58203125" style="55" customWidth="1"/>
    <col min="4" max="4" width="17.08203125" style="55" customWidth="1"/>
    <col min="5" max="5" width="31.58203125" style="55" customWidth="1"/>
    <col min="6" max="6" width="49.58203125" style="58" customWidth="1"/>
    <col min="7" max="7" width="13.1640625" style="55" customWidth="1"/>
    <col min="8" max="8" width="11.08203125" style="55"/>
    <col min="9" max="9" width="14.83203125" style="55" customWidth="1"/>
    <col min="10" max="10" width="67.58203125" style="58" customWidth="1"/>
    <col min="11" max="11" width="3.58203125" style="58" customWidth="1"/>
    <col min="12" max="12" width="2.08203125" style="55" customWidth="1"/>
    <col min="13" max="17" width="11.08203125" style="55"/>
    <col min="18" max="18" width="36.58203125" style="55" customWidth="1"/>
    <col min="19" max="16384" width="11.08203125" style="55"/>
  </cols>
  <sheetData>
    <row r="1" spans="1:12">
      <c r="A1" s="511"/>
      <c r="B1" s="229"/>
      <c r="C1" s="511"/>
      <c r="D1" s="511"/>
      <c r="E1" s="511"/>
      <c r="F1" s="512"/>
      <c r="G1" s="511"/>
      <c r="H1" s="511"/>
      <c r="I1" s="511"/>
      <c r="J1" s="512"/>
      <c r="K1" s="512"/>
      <c r="L1" s="511"/>
    </row>
    <row r="2" spans="1:12" ht="33.5">
      <c r="A2" s="511"/>
      <c r="B2" s="230"/>
      <c r="C2" s="68" t="s">
        <v>296</v>
      </c>
      <c r="D2" s="358"/>
      <c r="E2" s="90"/>
      <c r="F2" s="404"/>
      <c r="G2" s="68"/>
      <c r="H2" s="68"/>
      <c r="I2" s="68"/>
      <c r="J2" s="318"/>
      <c r="K2" s="56"/>
      <c r="L2" s="511"/>
    </row>
    <row r="3" spans="1:12" ht="33.5">
      <c r="A3" s="511"/>
      <c r="B3" s="231"/>
      <c r="C3" s="369"/>
      <c r="D3" s="358" t="s">
        <v>92</v>
      </c>
      <c r="E3" s="358"/>
      <c r="F3" s="224" t="s">
        <v>297</v>
      </c>
      <c r="G3" s="225">
        <f>1/8*B13+1/8*B18+1/8*B50+1/8*B58+1/8*B75+1/8*B97+1/8*B107 +1/8*B42</f>
        <v>0.375</v>
      </c>
      <c r="H3" s="56"/>
      <c r="I3" s="996" t="s">
        <v>1886</v>
      </c>
      <c r="J3" s="57"/>
      <c r="K3" s="57"/>
      <c r="L3" s="511"/>
    </row>
    <row r="4" spans="1:12">
      <c r="A4" s="511"/>
      <c r="C4" s="358"/>
      <c r="D4" s="370" t="s">
        <v>120</v>
      </c>
      <c r="E4" s="370"/>
      <c r="F4" s="404"/>
      <c r="G4" s="358"/>
      <c r="H4" s="358"/>
      <c r="I4" s="996" t="s">
        <v>1887</v>
      </c>
      <c r="J4" s="404"/>
      <c r="K4" s="404"/>
      <c r="L4" s="511"/>
    </row>
    <row r="5" spans="1:12">
      <c r="A5" s="511"/>
      <c r="C5" s="358"/>
      <c r="D5" s="403" t="s">
        <v>44</v>
      </c>
      <c r="E5" s="403"/>
      <c r="F5" s="404"/>
      <c r="G5" s="358"/>
      <c r="H5" s="358"/>
      <c r="I5" s="996" t="s">
        <v>1888</v>
      </c>
      <c r="J5" s="404"/>
      <c r="K5" s="404"/>
      <c r="L5" s="511"/>
    </row>
    <row r="6" spans="1:12">
      <c r="A6" s="511"/>
      <c r="C6" s="358"/>
      <c r="D6" s="358"/>
      <c r="E6" s="358"/>
      <c r="F6" s="404"/>
      <c r="G6" s="358"/>
      <c r="H6" s="358"/>
      <c r="I6" s="358"/>
      <c r="J6" s="404"/>
      <c r="K6" s="404"/>
      <c r="L6" s="511"/>
    </row>
    <row r="7" spans="1:12">
      <c r="A7" s="511"/>
      <c r="C7" s="358"/>
      <c r="D7" s="358"/>
      <c r="E7" s="474" t="s">
        <v>235</v>
      </c>
      <c r="F7" s="1022" t="s">
        <v>1937</v>
      </c>
      <c r="G7" s="65" t="s">
        <v>1313</v>
      </c>
      <c r="H7" s="358"/>
      <c r="I7" s="358"/>
      <c r="J7" s="404"/>
      <c r="K7" s="88"/>
      <c r="L7" s="511"/>
    </row>
    <row r="8" spans="1:12">
      <c r="A8" s="511"/>
      <c r="C8" s="358"/>
      <c r="D8" s="358"/>
      <c r="E8" s="474" t="s">
        <v>236</v>
      </c>
      <c r="F8" s="515">
        <v>100</v>
      </c>
      <c r="G8" s="65" t="s">
        <v>237</v>
      </c>
      <c r="H8" s="358"/>
      <c r="I8" s="358"/>
      <c r="J8" s="404"/>
      <c r="K8" s="88"/>
      <c r="L8" s="511"/>
    </row>
    <row r="9" spans="1:12">
      <c r="A9" s="511"/>
      <c r="C9" s="358"/>
      <c r="D9" s="358"/>
      <c r="E9" s="358"/>
      <c r="F9" s="404"/>
      <c r="G9" s="358"/>
      <c r="H9" s="358"/>
      <c r="I9" s="358"/>
      <c r="J9" s="404"/>
      <c r="K9" s="404"/>
      <c r="L9" s="511"/>
    </row>
    <row r="10" spans="1:12" ht="21.5" thickBot="1">
      <c r="A10" s="511"/>
      <c r="C10" s="296" t="s">
        <v>238</v>
      </c>
      <c r="D10" s="72"/>
      <c r="E10" s="358"/>
      <c r="F10" s="404"/>
      <c r="G10" s="358"/>
      <c r="H10" s="358"/>
      <c r="I10" s="358"/>
      <c r="J10" s="404"/>
      <c r="K10" s="404"/>
      <c r="L10" s="511"/>
    </row>
    <row r="11" spans="1:12" ht="19" thickTop="1">
      <c r="A11" s="511"/>
      <c r="C11" s="530"/>
      <c r="D11" s="393"/>
      <c r="E11" s="393"/>
      <c r="F11" s="393"/>
      <c r="G11" s="393"/>
      <c r="H11" s="393"/>
      <c r="I11" s="393"/>
      <c r="J11" s="320" t="s">
        <v>239</v>
      </c>
      <c r="K11" s="91"/>
      <c r="L11" s="511"/>
    </row>
    <row r="12" spans="1:12">
      <c r="A12" s="511"/>
      <c r="C12" s="531"/>
      <c r="D12" s="358"/>
      <c r="E12" s="358"/>
      <c r="F12" s="404"/>
      <c r="G12" s="65"/>
      <c r="H12" s="65"/>
      <c r="I12" s="65"/>
      <c r="J12" s="319"/>
      <c r="K12" s="91"/>
      <c r="L12" s="511"/>
    </row>
    <row r="13" spans="1:12" ht="29">
      <c r="A13" s="511"/>
      <c r="B13" s="62">
        <f>IF(AND(F13&lt;&gt;"",F15&lt;&gt;""),1,0)</f>
        <v>0</v>
      </c>
      <c r="C13" s="531"/>
      <c r="D13" s="358"/>
      <c r="E13" s="532" t="s">
        <v>298</v>
      </c>
      <c r="F13" s="517"/>
      <c r="G13" s="358" t="s">
        <v>299</v>
      </c>
      <c r="H13" s="84"/>
      <c r="I13" s="84"/>
      <c r="J13" s="118" t="s">
        <v>300</v>
      </c>
      <c r="K13" s="88"/>
      <c r="L13" s="511"/>
    </row>
    <row r="14" spans="1:12">
      <c r="A14" s="511"/>
      <c r="C14" s="531"/>
      <c r="D14" s="358"/>
      <c r="E14" s="532"/>
      <c r="F14" s="404"/>
      <c r="G14" s="85"/>
      <c r="H14" s="85"/>
      <c r="I14" s="85"/>
      <c r="J14" s="251"/>
      <c r="K14" s="84"/>
      <c r="L14" s="511"/>
    </row>
    <row r="15" spans="1:12" ht="46.5">
      <c r="A15" s="511"/>
      <c r="C15" s="531"/>
      <c r="D15" s="358"/>
      <c r="E15" s="532" t="s">
        <v>301</v>
      </c>
      <c r="F15" s="960"/>
      <c r="G15" s="358" t="s">
        <v>302</v>
      </c>
      <c r="H15" s="85"/>
      <c r="I15" s="85"/>
      <c r="J15" s="118" t="s">
        <v>303</v>
      </c>
      <c r="K15" s="88"/>
      <c r="L15" s="511"/>
    </row>
    <row r="16" spans="1:12" ht="15" thickBot="1">
      <c r="A16" s="511"/>
      <c r="C16" s="531"/>
      <c r="D16" s="519"/>
      <c r="E16" s="519"/>
      <c r="F16" s="520"/>
      <c r="G16" s="87"/>
      <c r="H16" s="87"/>
      <c r="I16" s="87"/>
      <c r="J16" s="252" t="s">
        <v>304</v>
      </c>
      <c r="K16" s="84"/>
      <c r="L16" s="511"/>
    </row>
    <row r="17" spans="1:12" ht="15" thickTop="1">
      <c r="A17" s="511"/>
      <c r="C17" s="531"/>
      <c r="D17" s="358"/>
      <c r="E17" s="358"/>
      <c r="F17" s="404"/>
      <c r="G17" s="85"/>
      <c r="H17" s="85"/>
      <c r="I17" s="85"/>
      <c r="J17" s="118"/>
      <c r="K17" s="84"/>
      <c r="L17" s="511"/>
    </row>
    <row r="18" spans="1:12">
      <c r="A18" s="511"/>
      <c r="B18" s="62">
        <f>IF(AND(E21&lt;&gt;"[Bitte auswählen]",F21&lt;&gt;"",G21&lt;&gt;""),1,0)</f>
        <v>1</v>
      </c>
      <c r="C18" s="531"/>
      <c r="D18" s="72" t="s">
        <v>305</v>
      </c>
      <c r="E18" s="404"/>
      <c r="F18" s="404"/>
      <c r="G18" s="404"/>
      <c r="H18" s="404"/>
      <c r="I18" s="404"/>
      <c r="J18" s="118"/>
      <c r="K18" s="88"/>
      <c r="L18" s="511"/>
    </row>
    <row r="19" spans="1:12" ht="58">
      <c r="A19" s="511"/>
      <c r="C19" s="531"/>
      <c r="D19" s="533"/>
      <c r="E19" s="533"/>
      <c r="F19" s="533"/>
      <c r="G19" s="533"/>
      <c r="H19" s="533"/>
      <c r="I19" s="533"/>
      <c r="J19" s="249" t="s">
        <v>1831</v>
      </c>
      <c r="K19" s="88"/>
      <c r="L19" s="511"/>
    </row>
    <row r="20" spans="1:12">
      <c r="A20" s="511"/>
      <c r="C20" s="531"/>
      <c r="D20" s="358"/>
      <c r="E20" s="72" t="s">
        <v>1672</v>
      </c>
      <c r="F20" s="321" t="s">
        <v>1797</v>
      </c>
      <c r="G20" s="72" t="s">
        <v>227</v>
      </c>
      <c r="H20" s="72" t="s">
        <v>306</v>
      </c>
      <c r="I20" s="85"/>
      <c r="J20" s="404"/>
      <c r="K20" s="84"/>
      <c r="L20" s="511"/>
    </row>
    <row r="21" spans="1:12" ht="14.5" customHeight="1">
      <c r="A21" s="511"/>
      <c r="C21" s="531"/>
      <c r="D21" s="358" t="s">
        <v>307</v>
      </c>
      <c r="E21" s="517" t="s">
        <v>1434</v>
      </c>
      <c r="F21" s="1016" t="s">
        <v>1936</v>
      </c>
      <c r="G21" s="853">
        <v>3.33</v>
      </c>
      <c r="H21" s="859" t="str">
        <f>IFERROR(VLOOKUP(E21,Emissionsfaktoren_Stoffe!$C$4:$L$517,10,FALSE),"")</f>
        <v>Stück</v>
      </c>
      <c r="I21" s="85"/>
      <c r="J21" s="251" t="s">
        <v>1832</v>
      </c>
      <c r="K21" s="88"/>
      <c r="L21" s="511"/>
    </row>
    <row r="22" spans="1:12">
      <c r="A22" s="511"/>
      <c r="C22" s="531"/>
      <c r="D22" s="358"/>
      <c r="E22" s="404"/>
      <c r="F22" s="404"/>
      <c r="G22" s="703"/>
      <c r="H22" s="703"/>
      <c r="I22" s="85"/>
      <c r="J22" s="837" t="s">
        <v>1833</v>
      </c>
      <c r="K22" s="88"/>
      <c r="L22" s="511"/>
    </row>
    <row r="23" spans="1:12">
      <c r="A23" s="511"/>
      <c r="C23" s="531"/>
      <c r="D23" s="358" t="s">
        <v>308</v>
      </c>
      <c r="E23" s="517" t="s">
        <v>1537</v>
      </c>
      <c r="F23" s="1016" t="s">
        <v>1935</v>
      </c>
      <c r="G23" s="853">
        <v>1.67</v>
      </c>
      <c r="H23" s="859" t="str">
        <f>IFERROR(VLOOKUP(E23,Emissionsfaktoren_Stoffe!$C$4:$L$517,10,FALSE),"")</f>
        <v>Stück</v>
      </c>
      <c r="I23" s="85"/>
      <c r="J23" s="837" t="s">
        <v>1834</v>
      </c>
      <c r="K23" s="88"/>
      <c r="L23" s="511"/>
    </row>
    <row r="24" spans="1:12">
      <c r="A24" s="511"/>
      <c r="C24" s="531"/>
      <c r="D24" s="358"/>
      <c r="E24" s="404"/>
      <c r="F24" s="404"/>
      <c r="G24" s="703"/>
      <c r="H24" s="703"/>
      <c r="I24" s="85"/>
      <c r="K24" s="88"/>
      <c r="L24" s="511"/>
    </row>
    <row r="25" spans="1:12">
      <c r="A25" s="511"/>
      <c r="C25" s="531"/>
      <c r="D25" s="358" t="s">
        <v>311</v>
      </c>
      <c r="E25" s="517" t="s">
        <v>1664</v>
      </c>
      <c r="F25" s="1016" t="s">
        <v>1935</v>
      </c>
      <c r="G25" s="853">
        <v>1.67</v>
      </c>
      <c r="H25" s="859" t="str">
        <f>IFERROR(VLOOKUP(E25,Emissionsfaktoren_Stoffe!$C$4:$L$517,10,FALSE),"")</f>
        <v>Stück</v>
      </c>
      <c r="I25" s="85"/>
      <c r="J25" s="249" t="s">
        <v>309</v>
      </c>
      <c r="K25" s="88"/>
      <c r="L25" s="511"/>
    </row>
    <row r="26" spans="1:12">
      <c r="A26" s="511"/>
      <c r="C26" s="531"/>
      <c r="D26" s="358"/>
      <c r="E26" s="404"/>
      <c r="F26" s="404"/>
      <c r="G26" s="703"/>
      <c r="H26" s="703"/>
      <c r="I26" s="85"/>
      <c r="J26" s="118" t="s">
        <v>310</v>
      </c>
      <c r="K26" s="88"/>
      <c r="L26" s="511"/>
    </row>
    <row r="27" spans="1:12">
      <c r="A27" s="511"/>
      <c r="C27" s="531"/>
      <c r="D27" s="358" t="s">
        <v>313</v>
      </c>
      <c r="E27" s="517" t="s">
        <v>1531</v>
      </c>
      <c r="F27" s="1016" t="s">
        <v>1935</v>
      </c>
      <c r="G27" s="853">
        <v>1.67</v>
      </c>
      <c r="H27" s="859" t="str">
        <f>IFERROR(VLOOKUP(E27,Emissionsfaktoren_Stoffe!$C$4:$L$517,10,FALSE),"")</f>
        <v>Stück</v>
      </c>
      <c r="I27" s="85"/>
      <c r="J27" s="118"/>
      <c r="K27" s="88"/>
      <c r="L27" s="511"/>
    </row>
    <row r="28" spans="1:12">
      <c r="A28" s="511"/>
      <c r="C28" s="531"/>
      <c r="D28" s="358"/>
      <c r="E28" s="404"/>
      <c r="F28" s="404"/>
      <c r="G28" s="703"/>
      <c r="H28" s="703"/>
      <c r="I28" s="85"/>
      <c r="J28" s="118" t="s">
        <v>312</v>
      </c>
      <c r="K28" s="88"/>
      <c r="L28" s="511"/>
    </row>
    <row r="29" spans="1:12">
      <c r="A29" s="511"/>
      <c r="C29" s="531"/>
      <c r="D29" s="358" t="s">
        <v>315</v>
      </c>
      <c r="E29" s="517" t="s">
        <v>128</v>
      </c>
      <c r="F29" s="534"/>
      <c r="G29" s="853"/>
      <c r="H29" s="859" t="str">
        <f>IFERROR(VLOOKUP(E29,Emissionsfaktoren_Stoffe!$C$4:$L$517,10,FALSE),"")</f>
        <v/>
      </c>
      <c r="I29" s="85"/>
      <c r="J29" s="404"/>
      <c r="K29" s="88"/>
      <c r="L29" s="511"/>
    </row>
    <row r="30" spans="1:12">
      <c r="A30" s="511"/>
      <c r="C30" s="531"/>
      <c r="D30" s="358"/>
      <c r="E30" s="404"/>
      <c r="F30" s="404"/>
      <c r="G30" s="703"/>
      <c r="H30" s="703"/>
      <c r="I30" s="85"/>
      <c r="J30" s="118" t="s">
        <v>314</v>
      </c>
      <c r="K30" s="88"/>
      <c r="L30" s="511"/>
    </row>
    <row r="31" spans="1:12">
      <c r="A31" s="511"/>
      <c r="C31" s="531"/>
      <c r="D31" s="358" t="s">
        <v>316</v>
      </c>
      <c r="E31" s="517" t="s">
        <v>128</v>
      </c>
      <c r="F31" s="534"/>
      <c r="G31" s="853"/>
      <c r="H31" s="859" t="str">
        <f>IFERROR(VLOOKUP(E31,Emissionsfaktoren_Stoffe!$C$4:$L$517,10,FALSE),"")</f>
        <v/>
      </c>
      <c r="I31" s="85"/>
      <c r="J31" s="404"/>
      <c r="K31" s="88"/>
      <c r="L31" s="511"/>
    </row>
    <row r="32" spans="1:12">
      <c r="A32" s="511"/>
      <c r="C32" s="531"/>
      <c r="D32" s="358"/>
      <c r="E32" s="404"/>
      <c r="F32" s="404"/>
      <c r="G32" s="703"/>
      <c r="H32" s="703"/>
      <c r="I32" s="85"/>
      <c r="J32" s="118"/>
      <c r="K32" s="88"/>
      <c r="L32" s="511"/>
    </row>
    <row r="33" spans="1:12">
      <c r="A33" s="511"/>
      <c r="C33" s="531"/>
      <c r="D33" s="358" t="s">
        <v>317</v>
      </c>
      <c r="E33" s="517" t="s">
        <v>128</v>
      </c>
      <c r="F33" s="534"/>
      <c r="G33" s="853"/>
      <c r="H33" s="859" t="str">
        <f>IFERROR(VLOOKUP(E33,Emissionsfaktoren_Stoffe!$C$4:$L$517,10,FALSE),"")</f>
        <v/>
      </c>
      <c r="I33" s="85"/>
      <c r="J33" s="118"/>
      <c r="K33" s="88"/>
      <c r="L33" s="511"/>
    </row>
    <row r="34" spans="1:12">
      <c r="A34" s="511"/>
      <c r="C34" s="531"/>
      <c r="D34" s="358"/>
      <c r="E34" s="404"/>
      <c r="F34" s="404"/>
      <c r="G34" s="703"/>
      <c r="H34" s="703"/>
      <c r="I34" s="85"/>
      <c r="J34" s="118"/>
      <c r="K34" s="88"/>
      <c r="L34" s="511"/>
    </row>
    <row r="35" spans="1:12">
      <c r="A35" s="511"/>
      <c r="C35" s="531"/>
      <c r="D35" s="358" t="s">
        <v>318</v>
      </c>
      <c r="E35" s="517" t="s">
        <v>128</v>
      </c>
      <c r="F35" s="534"/>
      <c r="G35" s="853"/>
      <c r="H35" s="859" t="str">
        <f>IFERROR(VLOOKUP(E35,Emissionsfaktoren_Stoffe!$C$4:$L$517,10,FALSE),"")</f>
        <v/>
      </c>
      <c r="I35" s="85"/>
      <c r="J35" s="118"/>
      <c r="K35" s="88"/>
      <c r="L35" s="511"/>
    </row>
    <row r="36" spans="1:12">
      <c r="A36" s="511"/>
      <c r="C36" s="531"/>
      <c r="D36" s="358"/>
      <c r="E36" s="404"/>
      <c r="F36" s="404"/>
      <c r="G36" s="703"/>
      <c r="H36" s="703"/>
      <c r="I36" s="85"/>
      <c r="J36" s="116"/>
      <c r="K36" s="88"/>
      <c r="L36" s="511"/>
    </row>
    <row r="37" spans="1:12">
      <c r="A37" s="511"/>
      <c r="C37" s="531"/>
      <c r="D37" s="358" t="s">
        <v>319</v>
      </c>
      <c r="E37" s="517" t="s">
        <v>128</v>
      </c>
      <c r="F37" s="534"/>
      <c r="G37" s="853"/>
      <c r="H37" s="859" t="str">
        <f>IFERROR(VLOOKUP(E37,Emissionsfaktoren_Stoffe!$C$4:$L$517,10,FALSE),"")</f>
        <v/>
      </c>
      <c r="I37" s="85"/>
      <c r="J37" s="116"/>
      <c r="K37" s="88"/>
      <c r="L37" s="511"/>
    </row>
    <row r="38" spans="1:12">
      <c r="A38" s="511"/>
      <c r="C38" s="531"/>
      <c r="D38" s="358"/>
      <c r="E38" s="404"/>
      <c r="F38" s="404"/>
      <c r="G38" s="703"/>
      <c r="H38" s="703"/>
      <c r="I38" s="85"/>
      <c r="J38" s="116"/>
      <c r="K38" s="88"/>
      <c r="L38" s="511"/>
    </row>
    <row r="39" spans="1:12">
      <c r="A39" s="511"/>
      <c r="C39" s="531"/>
      <c r="D39" s="358" t="s">
        <v>320</v>
      </c>
      <c r="E39" s="517" t="s">
        <v>128</v>
      </c>
      <c r="F39" s="534"/>
      <c r="G39" s="853"/>
      <c r="H39" s="859" t="str">
        <f>IFERROR(VLOOKUP(E39,Emissionsfaktoren_Stoffe!$C$4:$L$517,10,FALSE),"")</f>
        <v/>
      </c>
      <c r="I39" s="85"/>
      <c r="J39" s="116"/>
      <c r="K39" s="88"/>
      <c r="L39" s="511"/>
    </row>
    <row r="40" spans="1:12" ht="15" thickBot="1">
      <c r="A40" s="511"/>
      <c r="C40" s="531"/>
      <c r="D40" s="533"/>
      <c r="E40" s="533"/>
      <c r="F40" s="533"/>
      <c r="G40" s="533"/>
      <c r="H40" s="533"/>
      <c r="I40" s="533"/>
      <c r="J40" s="116"/>
      <c r="K40" s="88"/>
      <c r="L40" s="511"/>
    </row>
    <row r="41" spans="1:12" ht="19.5" thickTop="1" thickBot="1">
      <c r="A41" s="511"/>
      <c r="C41" s="531"/>
      <c r="D41" s="535"/>
      <c r="E41" s="536"/>
      <c r="F41" s="536"/>
      <c r="G41" s="536"/>
      <c r="H41" s="536"/>
      <c r="I41" s="536"/>
      <c r="J41" s="324" t="s">
        <v>239</v>
      </c>
      <c r="K41" s="84"/>
      <c r="L41" s="511"/>
    </row>
    <row r="42" spans="1:12" ht="15.5" thickTop="1" thickBot="1">
      <c r="A42" s="511"/>
      <c r="B42" s="62">
        <f>IF(F21&lt;&gt;"",1,0)</f>
        <v>1</v>
      </c>
      <c r="C42" s="531"/>
      <c r="D42" s="358"/>
      <c r="E42" s="358"/>
      <c r="F42" s="404"/>
      <c r="G42" s="85"/>
      <c r="H42" s="85"/>
      <c r="I42" s="85"/>
      <c r="J42" s="251"/>
      <c r="K42" s="88"/>
      <c r="L42" s="511"/>
    </row>
    <row r="43" spans="1:12" s="89" customFormat="1" ht="44" thickBot="1">
      <c r="A43" s="537"/>
      <c r="B43" s="232"/>
      <c r="C43" s="531"/>
      <c r="D43" s="90"/>
      <c r="E43" s="271" t="s">
        <v>321</v>
      </c>
      <c r="F43" s="959">
        <f>Produktion!L26</f>
        <v>1728.8179399999999</v>
      </c>
      <c r="G43" s="90" t="s">
        <v>322</v>
      </c>
      <c r="H43" s="92" t="s">
        <v>323</v>
      </c>
      <c r="I43" s="92"/>
      <c r="J43" s="149" t="s">
        <v>1878</v>
      </c>
      <c r="K43" s="93"/>
      <c r="L43" s="537"/>
    </row>
    <row r="44" spans="1:12" s="89" customFormat="1" ht="43.5">
      <c r="A44" s="537"/>
      <c r="B44" s="232"/>
      <c r="C44" s="531"/>
      <c r="D44" s="417"/>
      <c r="E44" s="417"/>
      <c r="F44" s="962" t="s">
        <v>1836</v>
      </c>
      <c r="G44" s="92"/>
      <c r="H44" s="961"/>
      <c r="I44" s="92"/>
      <c r="J44" s="963" t="s">
        <v>1835</v>
      </c>
      <c r="K44" s="93"/>
      <c r="L44" s="537"/>
    </row>
    <row r="45" spans="1:12" ht="15" thickBot="1">
      <c r="A45" s="511"/>
      <c r="C45" s="538"/>
      <c r="D45" s="539"/>
      <c r="E45" s="539"/>
      <c r="F45" s="539"/>
      <c r="G45" s="539"/>
      <c r="H45" s="539"/>
      <c r="I45" s="539"/>
      <c r="J45" s="540"/>
      <c r="K45" s="88"/>
      <c r="L45" s="511"/>
    </row>
    <row r="46" spans="1:12" ht="15" thickTop="1">
      <c r="A46" s="511"/>
      <c r="C46" s="358"/>
      <c r="D46" s="358"/>
      <c r="E46" s="358"/>
      <c r="F46" s="404"/>
      <c r="G46" s="85"/>
      <c r="H46" s="85"/>
      <c r="I46" s="85"/>
      <c r="J46" s="116"/>
      <c r="K46" s="88"/>
      <c r="L46" s="511"/>
    </row>
    <row r="47" spans="1:12" ht="21.5" thickBot="1">
      <c r="A47" s="511"/>
      <c r="C47" s="296" t="s">
        <v>242</v>
      </c>
      <c r="D47" s="358"/>
      <c r="E47" s="72"/>
      <c r="F47" s="404"/>
      <c r="G47" s="358"/>
      <c r="H47" s="358"/>
      <c r="I47" s="358"/>
      <c r="J47" s="117"/>
      <c r="K47" s="404"/>
      <c r="L47" s="511"/>
    </row>
    <row r="48" spans="1:12" ht="19" thickTop="1">
      <c r="A48" s="511"/>
      <c r="C48" s="530"/>
      <c r="D48" s="393"/>
      <c r="E48" s="393"/>
      <c r="F48" s="393"/>
      <c r="G48" s="393"/>
      <c r="H48" s="393"/>
      <c r="I48" s="393"/>
      <c r="J48" s="320" t="s">
        <v>239</v>
      </c>
      <c r="K48" s="91"/>
      <c r="L48" s="511"/>
    </row>
    <row r="49" spans="1:12">
      <c r="A49" s="511"/>
      <c r="C49" s="531"/>
      <c r="D49" s="358"/>
      <c r="E49" s="358"/>
      <c r="F49" s="404"/>
      <c r="G49" s="65"/>
      <c r="H49" s="65"/>
      <c r="I49" s="65"/>
      <c r="J49" s="319"/>
      <c r="K49" s="91"/>
      <c r="L49" s="511"/>
    </row>
    <row r="50" spans="1:12">
      <c r="A50" s="511"/>
      <c r="B50" s="62">
        <f>IF(AND(F52&lt;&gt;"",F54&lt;&gt;""),1,0)</f>
        <v>0</v>
      </c>
      <c r="C50" s="531"/>
      <c r="D50" s="358"/>
      <c r="E50" s="288" t="s">
        <v>243</v>
      </c>
      <c r="F50" s="518"/>
      <c r="G50" s="84"/>
      <c r="H50" s="84"/>
      <c r="I50" s="84"/>
      <c r="J50" s="149" t="s">
        <v>1723</v>
      </c>
      <c r="K50" s="88"/>
      <c r="L50" s="511"/>
    </row>
    <row r="51" spans="1:12">
      <c r="A51" s="511"/>
      <c r="C51" s="531"/>
      <c r="D51" s="358"/>
      <c r="E51" s="358"/>
      <c r="F51" s="404"/>
      <c r="G51" s="85"/>
      <c r="H51" s="85"/>
      <c r="I51" s="85"/>
      <c r="J51" s="837" t="s">
        <v>1734</v>
      </c>
      <c r="K51" s="84"/>
      <c r="L51" s="511"/>
    </row>
    <row r="52" spans="1:12" ht="29">
      <c r="A52" s="511"/>
      <c r="C52" s="531"/>
      <c r="D52" s="358"/>
      <c r="E52" s="514" t="s">
        <v>244</v>
      </c>
      <c r="F52" s="858"/>
      <c r="G52" s="417" t="s">
        <v>245</v>
      </c>
      <c r="H52" s="85"/>
      <c r="I52" s="85"/>
      <c r="J52" s="149" t="s">
        <v>1724</v>
      </c>
      <c r="K52" s="88"/>
      <c r="L52" s="511"/>
    </row>
    <row r="53" spans="1:12">
      <c r="A53" s="511"/>
      <c r="C53" s="531"/>
      <c r="D53" s="358"/>
      <c r="E53" s="358"/>
      <c r="F53" s="404"/>
      <c r="G53" s="85"/>
      <c r="H53" s="85"/>
      <c r="I53" s="85"/>
      <c r="J53" s="149"/>
      <c r="K53" s="88"/>
      <c r="L53" s="511"/>
    </row>
    <row r="54" spans="1:12">
      <c r="A54" s="511"/>
      <c r="C54" s="531"/>
      <c r="D54" s="358"/>
      <c r="E54" s="474" t="s">
        <v>246</v>
      </c>
      <c r="F54" s="517"/>
      <c r="G54" s="358" t="s">
        <v>247</v>
      </c>
      <c r="H54" s="92" t="s">
        <v>323</v>
      </c>
      <c r="I54" s="85"/>
      <c r="J54" s="149" t="s">
        <v>324</v>
      </c>
      <c r="K54" s="88"/>
      <c r="L54" s="511"/>
    </row>
    <row r="55" spans="1:12" ht="43.5">
      <c r="A55" s="511"/>
      <c r="C55" s="531"/>
      <c r="D55" s="358"/>
      <c r="E55" s="358"/>
      <c r="F55" s="404"/>
      <c r="G55" s="85"/>
      <c r="H55" s="85"/>
      <c r="I55" s="85"/>
      <c r="J55" s="149" t="s">
        <v>1736</v>
      </c>
      <c r="K55" s="88"/>
      <c r="L55" s="511"/>
    </row>
    <row r="56" spans="1:12" ht="15" thickBot="1">
      <c r="A56" s="511"/>
      <c r="C56" s="531"/>
      <c r="D56" s="519"/>
      <c r="E56" s="519"/>
      <c r="F56" s="520"/>
      <c r="G56" s="87"/>
      <c r="H56" s="87"/>
      <c r="I56" s="87"/>
      <c r="J56" s="119"/>
      <c r="K56" s="88"/>
      <c r="L56" s="511"/>
    </row>
    <row r="57" spans="1:12" ht="15" thickTop="1">
      <c r="A57" s="511"/>
      <c r="C57" s="531"/>
      <c r="D57" s="358"/>
      <c r="E57" s="358"/>
      <c r="F57" s="404"/>
      <c r="G57" s="85"/>
      <c r="H57" s="85"/>
      <c r="I57" s="85"/>
      <c r="J57" s="118"/>
      <c r="K57" s="84"/>
      <c r="L57" s="511"/>
    </row>
    <row r="58" spans="1:12">
      <c r="A58" s="511"/>
      <c r="B58" s="62">
        <f>IF(AND(F60&lt;&gt;"[Bitte auswählen]",G60&lt;&gt;"",H60&lt;&gt;""),1,0)</f>
        <v>0</v>
      </c>
      <c r="C58" s="531"/>
      <c r="D58" s="72" t="s">
        <v>248</v>
      </c>
      <c r="E58" s="358"/>
      <c r="F58" s="321"/>
      <c r="G58" s="322" t="s">
        <v>249</v>
      </c>
      <c r="H58" s="322" t="s">
        <v>250</v>
      </c>
      <c r="I58" s="85"/>
      <c r="J58" s="404"/>
      <c r="K58" s="88"/>
      <c r="L58" s="511"/>
    </row>
    <row r="59" spans="1:12">
      <c r="A59" s="511"/>
      <c r="C59" s="531"/>
      <c r="D59" s="358"/>
      <c r="E59" s="358"/>
      <c r="F59" s="321" t="s">
        <v>251</v>
      </c>
      <c r="G59" s="322" t="s">
        <v>252</v>
      </c>
      <c r="H59" s="322" t="s">
        <v>253</v>
      </c>
      <c r="I59" s="85"/>
      <c r="J59" s="148" t="s">
        <v>1320</v>
      </c>
      <c r="K59" s="84"/>
      <c r="L59" s="511"/>
    </row>
    <row r="60" spans="1:12" ht="29">
      <c r="A60" s="511"/>
      <c r="C60" s="531"/>
      <c r="D60" s="358"/>
      <c r="E60" s="474" t="s">
        <v>254</v>
      </c>
      <c r="F60" s="541" t="s">
        <v>128</v>
      </c>
      <c r="G60" s="475"/>
      <c r="H60" s="523"/>
      <c r="I60" s="86"/>
      <c r="J60" s="249" t="s">
        <v>1725</v>
      </c>
      <c r="K60" s="88"/>
      <c r="L60" s="511"/>
    </row>
    <row r="61" spans="1:12">
      <c r="A61" s="511"/>
      <c r="C61" s="531"/>
      <c r="D61" s="358"/>
      <c r="E61" s="474"/>
      <c r="F61" s="404"/>
      <c r="G61" s="358"/>
      <c r="H61" s="358"/>
      <c r="I61" s="86"/>
      <c r="J61" s="249"/>
      <c r="K61" s="88"/>
      <c r="L61" s="511"/>
    </row>
    <row r="62" spans="1:12">
      <c r="A62" s="511"/>
      <c r="C62" s="531"/>
      <c r="D62" s="358"/>
      <c r="E62" s="474" t="s">
        <v>255</v>
      </c>
      <c r="F62" s="541" t="s">
        <v>128</v>
      </c>
      <c r="G62" s="475"/>
      <c r="H62" s="523"/>
      <c r="I62" s="86"/>
      <c r="J62" s="149" t="s">
        <v>256</v>
      </c>
      <c r="K62" s="88"/>
      <c r="L62" s="511"/>
    </row>
    <row r="63" spans="1:12">
      <c r="A63" s="511"/>
      <c r="C63" s="531"/>
      <c r="D63" s="358"/>
      <c r="E63" s="474"/>
      <c r="F63" s="404"/>
      <c r="G63" s="358"/>
      <c r="H63" s="358"/>
      <c r="I63" s="86"/>
      <c r="J63" s="149" t="s">
        <v>257</v>
      </c>
      <c r="K63" s="88"/>
      <c r="L63" s="511"/>
    </row>
    <row r="64" spans="1:12">
      <c r="A64" s="511"/>
      <c r="C64" s="531"/>
      <c r="D64" s="358"/>
      <c r="E64" s="474" t="s">
        <v>258</v>
      </c>
      <c r="F64" s="541" t="s">
        <v>128</v>
      </c>
      <c r="G64" s="475"/>
      <c r="H64" s="523"/>
      <c r="I64" s="86"/>
      <c r="J64" s="149" t="s">
        <v>259</v>
      </c>
      <c r="K64" s="88"/>
      <c r="L64" s="511"/>
    </row>
    <row r="65" spans="1:12">
      <c r="A65" s="511"/>
      <c r="C65" s="531"/>
      <c r="D65" s="358"/>
      <c r="E65" s="474"/>
      <c r="F65" s="404"/>
      <c r="G65" s="358"/>
      <c r="H65" s="358"/>
      <c r="I65" s="85"/>
      <c r="J65" s="149" t="s">
        <v>260</v>
      </c>
      <c r="K65" s="88"/>
      <c r="L65" s="511"/>
    </row>
    <row r="66" spans="1:12">
      <c r="A66" s="511"/>
      <c r="C66" s="531"/>
      <c r="D66" s="358"/>
      <c r="E66" s="474" t="s">
        <v>261</v>
      </c>
      <c r="F66" s="541" t="s">
        <v>128</v>
      </c>
      <c r="G66" s="475"/>
      <c r="H66" s="523"/>
      <c r="I66" s="86"/>
      <c r="J66" s="149"/>
      <c r="K66" s="88"/>
      <c r="L66" s="511"/>
    </row>
    <row r="67" spans="1:12">
      <c r="A67" s="511"/>
      <c r="C67" s="531"/>
      <c r="D67" s="358"/>
      <c r="E67" s="474"/>
      <c r="F67" s="404"/>
      <c r="G67" s="358"/>
      <c r="H67" s="358"/>
      <c r="I67" s="86"/>
      <c r="J67" s="149" t="s">
        <v>262</v>
      </c>
      <c r="K67" s="88"/>
      <c r="L67" s="511"/>
    </row>
    <row r="68" spans="1:12">
      <c r="A68" s="511"/>
      <c r="C68" s="531"/>
      <c r="D68" s="358"/>
      <c r="E68" s="474" t="s">
        <v>263</v>
      </c>
      <c r="F68" s="541" t="s">
        <v>128</v>
      </c>
      <c r="G68" s="475"/>
      <c r="H68" s="523"/>
      <c r="I68" s="86"/>
      <c r="J68" s="316" t="s">
        <v>264</v>
      </c>
      <c r="K68" s="88"/>
      <c r="L68" s="511"/>
    </row>
    <row r="69" spans="1:12">
      <c r="A69" s="511"/>
      <c r="C69" s="531"/>
      <c r="D69" s="358"/>
      <c r="E69" s="474"/>
      <c r="F69" s="404"/>
      <c r="G69" s="358"/>
      <c r="H69" s="358"/>
      <c r="I69" s="86"/>
      <c r="K69" s="88"/>
      <c r="L69" s="511"/>
    </row>
    <row r="70" spans="1:12">
      <c r="A70" s="511"/>
      <c r="C70" s="531"/>
      <c r="D70" s="358"/>
      <c r="E70" s="474" t="s">
        <v>265</v>
      </c>
      <c r="F70" s="541" t="s">
        <v>128</v>
      </c>
      <c r="G70" s="475"/>
      <c r="H70" s="523"/>
      <c r="I70" s="86"/>
      <c r="K70" s="88"/>
      <c r="L70" s="511"/>
    </row>
    <row r="71" spans="1:12">
      <c r="A71" s="511"/>
      <c r="C71" s="531"/>
      <c r="D71" s="358"/>
      <c r="E71" s="474"/>
      <c r="F71" s="404"/>
      <c r="G71" s="358"/>
      <c r="H71" s="358"/>
      <c r="I71" s="85"/>
      <c r="J71" s="118"/>
      <c r="K71" s="88"/>
      <c r="L71" s="511"/>
    </row>
    <row r="72" spans="1:12">
      <c r="A72" s="511"/>
      <c r="C72" s="531"/>
      <c r="D72" s="358"/>
      <c r="E72" s="474" t="s">
        <v>266</v>
      </c>
      <c r="F72" s="541" t="s">
        <v>128</v>
      </c>
      <c r="G72" s="475"/>
      <c r="H72" s="523"/>
      <c r="I72" s="86"/>
      <c r="J72" s="118"/>
      <c r="K72" s="88"/>
      <c r="L72" s="511"/>
    </row>
    <row r="73" spans="1:12" ht="15" thickBot="1">
      <c r="A73" s="511"/>
      <c r="C73" s="531"/>
      <c r="D73" s="519"/>
      <c r="E73" s="519"/>
      <c r="F73" s="520"/>
      <c r="G73" s="87"/>
      <c r="H73" s="87"/>
      <c r="I73" s="87"/>
      <c r="J73" s="119"/>
      <c r="K73" s="88"/>
      <c r="L73" s="511"/>
    </row>
    <row r="74" spans="1:12" ht="15" thickTop="1">
      <c r="A74" s="511"/>
      <c r="C74" s="531"/>
      <c r="D74" s="358"/>
      <c r="E74" s="358"/>
      <c r="F74" s="404"/>
      <c r="G74" s="85"/>
      <c r="H74" s="85"/>
      <c r="I74" s="85"/>
      <c r="J74" s="118"/>
      <c r="K74" s="84"/>
      <c r="L74" s="511"/>
    </row>
    <row r="75" spans="1:12">
      <c r="A75" s="511"/>
      <c r="B75" s="62">
        <f>IF(F77="[Bitte auswählen]",0,1)</f>
        <v>0</v>
      </c>
      <c r="C75" s="531"/>
      <c r="D75" s="72" t="s">
        <v>267</v>
      </c>
      <c r="E75" s="358"/>
      <c r="F75" s="321"/>
      <c r="G75" s="72"/>
      <c r="H75" s="72"/>
      <c r="I75" s="322" t="s">
        <v>325</v>
      </c>
      <c r="J75" s="325" t="s">
        <v>268</v>
      </c>
      <c r="K75" s="84"/>
      <c r="L75" s="511"/>
    </row>
    <row r="76" spans="1:12">
      <c r="A76" s="511"/>
      <c r="C76" s="531"/>
      <c r="D76" s="358"/>
      <c r="E76" s="358"/>
      <c r="F76" s="321" t="s">
        <v>251</v>
      </c>
      <c r="G76" s="322" t="s">
        <v>269</v>
      </c>
      <c r="H76" s="322" t="s">
        <v>228</v>
      </c>
      <c r="I76" s="322" t="s">
        <v>326</v>
      </c>
      <c r="J76" s="149"/>
      <c r="K76" s="84"/>
      <c r="L76" s="511"/>
    </row>
    <row r="77" spans="1:12">
      <c r="A77" s="511"/>
      <c r="C77" s="531"/>
      <c r="D77" s="358"/>
      <c r="E77" s="474" t="s">
        <v>271</v>
      </c>
      <c r="F77" s="843" t="s">
        <v>128</v>
      </c>
      <c r="G77" s="853"/>
      <c r="H77" s="860" t="str">
        <f>IFERROR(VLOOKUP(F77,Emissionsfaktoren_Prozesse!$D$108:$R$156,3,FALSE),"")</f>
        <v/>
      </c>
      <c r="I77" s="861"/>
      <c r="J77" s="325" t="s">
        <v>272</v>
      </c>
      <c r="K77" s="84"/>
      <c r="L77" s="511"/>
    </row>
    <row r="78" spans="1:12">
      <c r="A78" s="511"/>
      <c r="C78" s="531"/>
      <c r="D78" s="358"/>
      <c r="E78" s="474"/>
      <c r="F78" s="533"/>
      <c r="G78" s="703"/>
      <c r="H78" s="862"/>
      <c r="I78" s="703"/>
      <c r="J78" s="325" t="s">
        <v>1727</v>
      </c>
      <c r="K78" s="84"/>
      <c r="L78" s="511"/>
    </row>
    <row r="79" spans="1:12">
      <c r="A79" s="511"/>
      <c r="C79" s="531"/>
      <c r="D79" s="358"/>
      <c r="E79" s="474" t="s">
        <v>273</v>
      </c>
      <c r="F79" s="843" t="s">
        <v>128</v>
      </c>
      <c r="G79" s="853"/>
      <c r="H79" s="860" t="str">
        <f>IFERROR(VLOOKUP(F79,Emissionsfaktoren_Prozesse!$D$108:$R$156,3,FALSE),"")</f>
        <v/>
      </c>
      <c r="I79" s="861"/>
      <c r="J79" s="149"/>
      <c r="K79" s="84"/>
      <c r="L79" s="511"/>
    </row>
    <row r="80" spans="1:12">
      <c r="A80" s="511"/>
      <c r="C80" s="531"/>
      <c r="D80" s="358"/>
      <c r="E80" s="474"/>
      <c r="F80" s="533"/>
      <c r="G80" s="703"/>
      <c r="H80" s="862"/>
      <c r="I80" s="703"/>
      <c r="J80" s="325" t="s">
        <v>274</v>
      </c>
      <c r="K80" s="84"/>
      <c r="L80" s="511"/>
    </row>
    <row r="81" spans="1:12">
      <c r="A81" s="511"/>
      <c r="C81" s="531"/>
      <c r="D81" s="358"/>
      <c r="E81" s="474" t="s">
        <v>275</v>
      </c>
      <c r="F81" s="843" t="s">
        <v>128</v>
      </c>
      <c r="G81" s="853"/>
      <c r="H81" s="860" t="str">
        <f>IFERROR(VLOOKUP(F81,Emissionsfaktoren_Prozesse!$D$108:$R$156,3,FALSE),"")</f>
        <v/>
      </c>
      <c r="I81" s="861"/>
      <c r="J81" s="149"/>
      <c r="K81" s="84"/>
      <c r="L81" s="511"/>
    </row>
    <row r="82" spans="1:12">
      <c r="A82" s="511"/>
      <c r="C82" s="531"/>
      <c r="D82" s="358"/>
      <c r="E82" s="474"/>
      <c r="F82" s="533"/>
      <c r="G82" s="703"/>
      <c r="H82" s="862"/>
      <c r="I82" s="703"/>
      <c r="J82" s="325" t="s">
        <v>1726</v>
      </c>
      <c r="K82" s="84"/>
      <c r="L82" s="511"/>
    </row>
    <row r="83" spans="1:12">
      <c r="A83" s="511"/>
      <c r="C83" s="531"/>
      <c r="D83" s="358"/>
      <c r="E83" s="474" t="s">
        <v>276</v>
      </c>
      <c r="F83" s="843" t="s">
        <v>128</v>
      </c>
      <c r="G83" s="853"/>
      <c r="H83" s="860" t="str">
        <f>IFERROR(VLOOKUP(F83,Emissionsfaktoren_Prozesse!$D$108:$R$156,3,FALSE),"")</f>
        <v/>
      </c>
      <c r="I83" s="861"/>
      <c r="J83" s="325" t="s">
        <v>1732</v>
      </c>
      <c r="K83" s="84"/>
      <c r="L83" s="511"/>
    </row>
    <row r="84" spans="1:12">
      <c r="A84" s="511"/>
      <c r="C84" s="531"/>
      <c r="D84" s="358"/>
      <c r="E84" s="474"/>
      <c r="F84" s="533"/>
      <c r="G84" s="703"/>
      <c r="H84" s="862"/>
      <c r="I84" s="703"/>
      <c r="J84" s="149"/>
      <c r="K84" s="84"/>
      <c r="L84" s="511"/>
    </row>
    <row r="85" spans="1:12">
      <c r="A85" s="511"/>
      <c r="C85" s="531"/>
      <c r="D85" s="358"/>
      <c r="E85" s="474" t="s">
        <v>277</v>
      </c>
      <c r="F85" s="843" t="s">
        <v>128</v>
      </c>
      <c r="G85" s="853"/>
      <c r="H85" s="860" t="str">
        <f>IFERROR(VLOOKUP(F85,Emissionsfaktoren_Prozesse!$D$108:$R$156,3,FALSE),"")</f>
        <v/>
      </c>
      <c r="I85" s="861"/>
      <c r="J85" s="325" t="s">
        <v>278</v>
      </c>
      <c r="K85" s="84"/>
      <c r="L85" s="511"/>
    </row>
    <row r="86" spans="1:12">
      <c r="A86" s="511"/>
      <c r="C86" s="531"/>
      <c r="D86" s="358"/>
      <c r="E86" s="474"/>
      <c r="F86" s="533"/>
      <c r="G86" s="703"/>
      <c r="H86" s="862"/>
      <c r="I86" s="703"/>
      <c r="J86" s="325" t="s">
        <v>1850</v>
      </c>
      <c r="K86" s="84"/>
      <c r="L86" s="511"/>
    </row>
    <row r="87" spans="1:12">
      <c r="A87" s="511"/>
      <c r="C87" s="531"/>
      <c r="D87" s="358"/>
      <c r="E87" s="474" t="s">
        <v>279</v>
      </c>
      <c r="F87" s="843" t="s">
        <v>128</v>
      </c>
      <c r="G87" s="853"/>
      <c r="H87" s="860" t="str">
        <f>IFERROR(VLOOKUP(F87,Emissionsfaktoren_Prozesse!$D$108:$R$156,3,FALSE),"")</f>
        <v/>
      </c>
      <c r="I87" s="861"/>
      <c r="J87" s="404"/>
      <c r="K87" s="84"/>
      <c r="L87" s="511"/>
    </row>
    <row r="88" spans="1:12">
      <c r="A88" s="511"/>
      <c r="C88" s="531"/>
      <c r="D88" s="358"/>
      <c r="E88" s="474"/>
      <c r="F88" s="533"/>
      <c r="G88" s="703"/>
      <c r="H88" s="862"/>
      <c r="I88" s="703"/>
      <c r="J88" s="325" t="s">
        <v>280</v>
      </c>
      <c r="K88" s="84"/>
      <c r="L88" s="511"/>
    </row>
    <row r="89" spans="1:12">
      <c r="A89" s="511"/>
      <c r="C89" s="531"/>
      <c r="D89" s="358"/>
      <c r="E89" s="474" t="s">
        <v>281</v>
      </c>
      <c r="F89" s="843" t="s">
        <v>128</v>
      </c>
      <c r="G89" s="853"/>
      <c r="H89" s="860" t="str">
        <f>IFERROR(VLOOKUP(F89,Emissionsfaktoren_Prozesse!$D$108:$R$156,3,FALSE),"")</f>
        <v/>
      </c>
      <c r="I89" s="861"/>
      <c r="J89" s="326" t="s">
        <v>282</v>
      </c>
      <c r="K89" s="84"/>
      <c r="L89" s="511"/>
    </row>
    <row r="90" spans="1:12">
      <c r="A90" s="511"/>
      <c r="C90" s="531"/>
      <c r="D90" s="358"/>
      <c r="E90" s="358"/>
      <c r="F90" s="404"/>
      <c r="G90" s="85"/>
      <c r="H90" s="85"/>
      <c r="I90" s="85"/>
      <c r="J90" s="118"/>
      <c r="K90" s="84"/>
      <c r="L90" s="511"/>
    </row>
    <row r="91" spans="1:12" ht="15" thickBot="1">
      <c r="A91" s="511"/>
      <c r="C91" s="538"/>
      <c r="D91" s="539"/>
      <c r="E91" s="539"/>
      <c r="F91" s="539"/>
      <c r="G91" s="539"/>
      <c r="H91" s="539"/>
      <c r="I91" s="539"/>
      <c r="J91" s="540"/>
      <c r="K91" s="84"/>
      <c r="L91" s="511"/>
    </row>
    <row r="92" spans="1:12" ht="15" thickTop="1">
      <c r="A92" s="511"/>
      <c r="C92" s="358"/>
      <c r="D92" s="358"/>
      <c r="E92" s="358"/>
      <c r="F92" s="404"/>
      <c r="G92" s="358"/>
      <c r="H92" s="358"/>
      <c r="I92" s="358"/>
      <c r="J92" s="117"/>
      <c r="K92" s="404"/>
      <c r="L92" s="511"/>
    </row>
    <row r="93" spans="1:12">
      <c r="A93" s="511"/>
      <c r="C93" s="358"/>
      <c r="D93" s="358"/>
      <c r="E93" s="358"/>
      <c r="F93" s="404"/>
      <c r="G93" s="358"/>
      <c r="H93" s="358"/>
      <c r="I93" s="358"/>
      <c r="J93" s="117"/>
      <c r="K93" s="404"/>
      <c r="L93" s="511"/>
    </row>
    <row r="94" spans="1:12" ht="21.5" thickBot="1">
      <c r="A94" s="511"/>
      <c r="C94" s="296" t="s">
        <v>283</v>
      </c>
      <c r="D94" s="296"/>
      <c r="E94" s="358"/>
      <c r="F94" s="404"/>
      <c r="G94" s="358"/>
      <c r="H94" s="358"/>
      <c r="I94" s="358"/>
      <c r="J94" s="117"/>
      <c r="K94" s="404"/>
      <c r="L94" s="511"/>
    </row>
    <row r="95" spans="1:12" ht="19" thickTop="1">
      <c r="A95" s="511"/>
      <c r="C95" s="530"/>
      <c r="D95" s="393"/>
      <c r="E95" s="393"/>
      <c r="F95" s="393"/>
      <c r="G95" s="393"/>
      <c r="H95" s="393"/>
      <c r="I95" s="393"/>
      <c r="J95" s="320" t="s">
        <v>239</v>
      </c>
      <c r="K95" s="91"/>
      <c r="L95" s="511"/>
    </row>
    <row r="96" spans="1:12">
      <c r="A96" s="511"/>
      <c r="C96" s="531"/>
      <c r="D96" s="358"/>
      <c r="E96" s="358"/>
      <c r="F96" s="404"/>
      <c r="G96" s="72" t="s">
        <v>228</v>
      </c>
      <c r="H96" s="65"/>
      <c r="I96" s="65"/>
      <c r="J96" s="319"/>
      <c r="K96" s="91"/>
      <c r="L96" s="511"/>
    </row>
    <row r="97" spans="1:14">
      <c r="A97" s="511"/>
      <c r="B97" s="62">
        <f>IF(AND(F102&lt;&gt;"[Bitte auswählen]",G102&lt;&gt;""),1,0)</f>
        <v>1</v>
      </c>
      <c r="C97" s="531"/>
      <c r="D97" s="358"/>
      <c r="E97" s="1010" t="s">
        <v>1924</v>
      </c>
      <c r="F97" s="542">
        <v>10</v>
      </c>
      <c r="G97" s="587" t="s">
        <v>327</v>
      </c>
      <c r="H97" s="833"/>
      <c r="I97" s="833"/>
      <c r="J97" s="327" t="s">
        <v>285</v>
      </c>
      <c r="K97" s="88"/>
      <c r="L97" s="511"/>
    </row>
    <row r="98" spans="1:14">
      <c r="A98" s="511"/>
      <c r="C98" s="531"/>
      <c r="D98" s="358"/>
      <c r="E98" s="313" t="s">
        <v>1776</v>
      </c>
      <c r="F98" s="542">
        <f>6*203</f>
        <v>1218</v>
      </c>
      <c r="G98" s="1013" t="s">
        <v>1757</v>
      </c>
      <c r="H98" s="834" t="s">
        <v>286</v>
      </c>
      <c r="I98" s="835"/>
      <c r="J98" s="836" t="s">
        <v>1777</v>
      </c>
      <c r="K98" s="88"/>
      <c r="L98" s="511"/>
    </row>
    <row r="99" spans="1:14" ht="43.5">
      <c r="A99" s="511"/>
      <c r="C99" s="531"/>
      <c r="D99" s="358"/>
      <c r="E99" s="838" t="s">
        <v>401</v>
      </c>
      <c r="F99" s="588">
        <f>IF(F98="",F97,F97*F98)</f>
        <v>12180</v>
      </c>
      <c r="G99" s="526" t="str">
        <f>IF(G98="",G97,G98)</f>
        <v>Stunden</v>
      </c>
      <c r="H99" s="84"/>
      <c r="I99" s="84"/>
      <c r="J99" s="149" t="s">
        <v>1728</v>
      </c>
      <c r="K99" s="88"/>
      <c r="L99" s="511"/>
    </row>
    <row r="100" spans="1:14">
      <c r="A100" s="511"/>
      <c r="C100" s="531"/>
      <c r="D100" s="358"/>
      <c r="E100" s="358"/>
      <c r="F100" s="404"/>
      <c r="G100" s="85"/>
      <c r="H100" s="85"/>
      <c r="I100" s="85"/>
      <c r="J100" s="149"/>
      <c r="K100" s="88"/>
      <c r="L100" s="511"/>
    </row>
    <row r="101" spans="1:14">
      <c r="A101" s="511"/>
      <c r="C101" s="531"/>
      <c r="D101" s="358"/>
      <c r="E101" s="358"/>
      <c r="F101" s="321" t="s">
        <v>287</v>
      </c>
      <c r="G101" s="72" t="s">
        <v>1729</v>
      </c>
      <c r="H101" s="85"/>
      <c r="I101" s="85"/>
      <c r="J101" s="149"/>
      <c r="K101" s="88"/>
      <c r="L101" s="511"/>
    </row>
    <row r="102" spans="1:14">
      <c r="A102" s="511"/>
      <c r="C102" s="531"/>
      <c r="D102" s="358"/>
      <c r="E102" s="474" t="s">
        <v>288</v>
      </c>
      <c r="F102" s="517" t="s">
        <v>188</v>
      </c>
      <c r="G102" s="854">
        <f>32.39*F98/1000</f>
        <v>39.451020000000007</v>
      </c>
      <c r="H102" s="528" t="str">
        <f>IFERROR(VLOOKUP(F102,Emissionsfaktoren_Prozesse!$E$4:$F$103,2,FALSE),"")</f>
        <v>kWh</v>
      </c>
      <c r="I102" s="529" t="s">
        <v>289</v>
      </c>
      <c r="J102" s="149" t="s">
        <v>290</v>
      </c>
      <c r="K102" s="88"/>
      <c r="L102" s="511"/>
    </row>
    <row r="103" spans="1:14">
      <c r="A103" s="511"/>
      <c r="C103" s="531"/>
      <c r="D103" s="358"/>
      <c r="E103" s="474" t="s">
        <v>288</v>
      </c>
      <c r="F103" s="1014" t="s">
        <v>188</v>
      </c>
      <c r="G103" s="854">
        <f>18.82*F98/1000</f>
        <v>22.922760000000004</v>
      </c>
      <c r="H103" s="528" t="str">
        <f>IFERROR(VLOOKUP(F103,Emissionsfaktoren_Prozesse!$E$4:$F$103,2,FALSE),"")</f>
        <v>kWh</v>
      </c>
      <c r="I103" s="529" t="s">
        <v>289</v>
      </c>
      <c r="J103" s="66" t="s">
        <v>1875</v>
      </c>
      <c r="K103" s="88"/>
      <c r="L103" s="511"/>
    </row>
    <row r="104" spans="1:14">
      <c r="A104" s="511"/>
      <c r="C104" s="531"/>
      <c r="D104" s="358"/>
      <c r="E104" s="474" t="s">
        <v>288</v>
      </c>
      <c r="F104" s="517" t="s">
        <v>128</v>
      </c>
      <c r="G104" s="854"/>
      <c r="H104" s="528" t="str">
        <f>IFERROR(VLOOKUP(F104,Emissionsfaktoren_Prozesse!$E$4:$F$103,2,FALSE),"")</f>
        <v/>
      </c>
      <c r="I104" s="529" t="s">
        <v>289</v>
      </c>
      <c r="J104" s="118"/>
      <c r="K104" s="88"/>
      <c r="L104" s="511"/>
    </row>
    <row r="105" spans="1:14" ht="15" thickBot="1">
      <c r="A105" s="511"/>
      <c r="C105" s="531"/>
      <c r="D105" s="519"/>
      <c r="E105" s="519"/>
      <c r="F105" s="520"/>
      <c r="G105" s="87"/>
      <c r="H105" s="87"/>
      <c r="I105" s="87"/>
      <c r="J105" s="119"/>
      <c r="K105" s="84"/>
      <c r="L105" s="511"/>
    </row>
    <row r="106" spans="1:14" ht="15" thickTop="1">
      <c r="A106" s="511"/>
      <c r="C106" s="531"/>
      <c r="D106" s="358"/>
      <c r="E106" s="358"/>
      <c r="F106" s="404"/>
      <c r="G106" s="85"/>
      <c r="H106" s="85"/>
      <c r="I106" s="85"/>
      <c r="J106" s="118"/>
      <c r="K106" s="84"/>
      <c r="L106" s="511"/>
    </row>
    <row r="107" spans="1:14">
      <c r="A107" s="511"/>
      <c r="B107" s="62">
        <f>IF(F109="[Bitte auswählen]",0,1)</f>
        <v>0</v>
      </c>
      <c r="C107" s="531"/>
      <c r="D107" s="328" t="s">
        <v>291</v>
      </c>
      <c r="E107" s="361"/>
      <c r="F107" s="404"/>
      <c r="G107" s="85"/>
      <c r="H107" s="85"/>
      <c r="I107" s="85"/>
      <c r="J107" s="404"/>
      <c r="K107" s="88"/>
      <c r="L107" s="511"/>
    </row>
    <row r="108" spans="1:14" ht="58">
      <c r="A108" s="511"/>
      <c r="C108" s="531"/>
      <c r="D108" s="358"/>
      <c r="E108" s="358"/>
      <c r="F108" s="321" t="s">
        <v>251</v>
      </c>
      <c r="G108" s="321" t="s">
        <v>1922</v>
      </c>
      <c r="H108" s="72" t="s">
        <v>292</v>
      </c>
      <c r="I108" s="358"/>
      <c r="J108" s="149" t="s">
        <v>1923</v>
      </c>
      <c r="K108" s="84"/>
      <c r="L108" s="511"/>
    </row>
    <row r="109" spans="1:14" ht="43.5">
      <c r="A109" s="511"/>
      <c r="C109" s="531"/>
      <c r="D109" s="358"/>
      <c r="E109" s="474" t="s">
        <v>271</v>
      </c>
      <c r="F109" s="517" t="s">
        <v>128</v>
      </c>
      <c r="G109" s="522"/>
      <c r="H109" s="511">
        <f>IFERROR(VLOOKUP(F109,Emissionsfaktoren_Lebenszyklus!$C$5:$J$17,6,FALSE),0)*G109</f>
        <v>0</v>
      </c>
      <c r="I109" s="65" t="s">
        <v>293</v>
      </c>
      <c r="J109" s="118" t="s">
        <v>1731</v>
      </c>
      <c r="K109" s="88"/>
      <c r="L109" s="511"/>
    </row>
    <row r="110" spans="1:14">
      <c r="A110" s="511"/>
      <c r="C110" s="531"/>
      <c r="D110" s="358"/>
      <c r="E110" s="474"/>
      <c r="F110" s="404"/>
      <c r="G110" s="358"/>
      <c r="H110" s="358"/>
      <c r="I110" s="65"/>
      <c r="J110" s="404"/>
      <c r="K110" s="88"/>
      <c r="L110" s="511"/>
    </row>
    <row r="111" spans="1:14" ht="43.5">
      <c r="A111" s="511"/>
      <c r="C111" s="531"/>
      <c r="D111" s="358"/>
      <c r="E111" s="474" t="s">
        <v>273</v>
      </c>
      <c r="F111" s="517" t="s">
        <v>128</v>
      </c>
      <c r="G111" s="522"/>
      <c r="H111" s="511">
        <f>IFERROR(VLOOKUP(F111,Emissionsfaktoren_Lebenszyklus!$C$5:$J$17,6,FALSE),0)*G111</f>
        <v>0</v>
      </c>
      <c r="I111" s="65" t="s">
        <v>293</v>
      </c>
      <c r="J111" s="149" t="s">
        <v>1730</v>
      </c>
      <c r="K111" s="88"/>
      <c r="L111" s="511"/>
    </row>
    <row r="112" spans="1:14">
      <c r="A112" s="511"/>
      <c r="C112" s="531"/>
      <c r="D112" s="358"/>
      <c r="E112" s="474"/>
      <c r="F112" s="404"/>
      <c r="G112" s="358"/>
      <c r="H112" s="358"/>
      <c r="I112" s="65"/>
      <c r="J112" s="404"/>
      <c r="K112" s="88"/>
      <c r="L112" s="511"/>
      <c r="M112" s="358"/>
      <c r="N112" s="358"/>
    </row>
    <row r="113" spans="1:14">
      <c r="A113" s="511"/>
      <c r="C113" s="531"/>
      <c r="D113" s="358"/>
      <c r="E113" s="474" t="s">
        <v>275</v>
      </c>
      <c r="F113" s="517" t="s">
        <v>128</v>
      </c>
      <c r="G113" s="522"/>
      <c r="H113" s="511">
        <f>IFERROR(VLOOKUP(F113,Emissionsfaktoren_Lebenszyklus!$C$5:$J$17,6,FALSE),0)*G113</f>
        <v>0</v>
      </c>
      <c r="I113" s="65" t="s">
        <v>293</v>
      </c>
      <c r="J113" s="149" t="s">
        <v>294</v>
      </c>
      <c r="K113" s="88"/>
      <c r="L113" s="511"/>
      <c r="M113" s="358"/>
      <c r="N113" s="358"/>
    </row>
    <row r="114" spans="1:14">
      <c r="A114" s="511"/>
      <c r="C114" s="531"/>
      <c r="D114" s="358"/>
      <c r="E114" s="474"/>
      <c r="F114" s="404"/>
      <c r="G114" s="358"/>
      <c r="H114" s="358"/>
      <c r="I114" s="65"/>
      <c r="J114" s="404"/>
      <c r="K114" s="88"/>
      <c r="L114" s="511"/>
      <c r="M114" s="358"/>
      <c r="N114" s="358"/>
    </row>
    <row r="115" spans="1:14">
      <c r="A115" s="511"/>
      <c r="C115" s="531"/>
      <c r="D115" s="358"/>
      <c r="E115" s="474" t="s">
        <v>276</v>
      </c>
      <c r="F115" s="517" t="s">
        <v>128</v>
      </c>
      <c r="G115" s="522"/>
      <c r="H115" s="511">
        <f>IFERROR(VLOOKUP(F115,Emissionsfaktoren_Lebenszyklus!$C$5:$J$17,6,FALSE),0)*G115</f>
        <v>0</v>
      </c>
      <c r="I115" s="65" t="s">
        <v>293</v>
      </c>
      <c r="J115" s="404"/>
      <c r="K115" s="88"/>
      <c r="L115" s="511"/>
      <c r="M115" s="358"/>
      <c r="N115" s="358"/>
    </row>
    <row r="116" spans="1:14">
      <c r="A116" s="511"/>
      <c r="C116" s="531"/>
      <c r="D116" s="358"/>
      <c r="E116" s="474"/>
      <c r="F116" s="404"/>
      <c r="G116" s="358"/>
      <c r="H116" s="358"/>
      <c r="I116" s="65"/>
      <c r="J116" s="149"/>
      <c r="K116" s="88"/>
      <c r="L116" s="511"/>
      <c r="M116" s="358"/>
      <c r="N116" s="358"/>
    </row>
    <row r="117" spans="1:14">
      <c r="A117" s="511"/>
      <c r="C117" s="531"/>
      <c r="D117" s="358"/>
      <c r="E117" s="474" t="s">
        <v>277</v>
      </c>
      <c r="F117" s="517" t="s">
        <v>128</v>
      </c>
      <c r="G117" s="522"/>
      <c r="H117" s="511">
        <f>IFERROR(VLOOKUP(F117,Emissionsfaktoren_Lebenszyklus!$C$5:$J$17,6,FALSE),0)*G117</f>
        <v>0</v>
      </c>
      <c r="I117" s="65" t="s">
        <v>293</v>
      </c>
      <c r="J117" s="404"/>
      <c r="K117" s="88"/>
      <c r="L117" s="511"/>
      <c r="M117" s="358"/>
      <c r="N117" s="94"/>
    </row>
    <row r="118" spans="1:14">
      <c r="A118" s="511"/>
      <c r="C118" s="531"/>
      <c r="D118" s="358"/>
      <c r="E118" s="474"/>
      <c r="F118" s="404"/>
      <c r="G118" s="358"/>
      <c r="H118" s="358"/>
      <c r="I118" s="65"/>
      <c r="J118" s="404"/>
      <c r="K118" s="88"/>
      <c r="L118" s="511"/>
      <c r="M118" s="358"/>
      <c r="N118" s="358"/>
    </row>
    <row r="119" spans="1:14">
      <c r="A119" s="511"/>
      <c r="C119" s="531"/>
      <c r="D119" s="358"/>
      <c r="E119" s="474" t="s">
        <v>279</v>
      </c>
      <c r="F119" s="517" t="s">
        <v>128</v>
      </c>
      <c r="G119" s="522"/>
      <c r="H119" s="511">
        <f>IFERROR(VLOOKUP(F119,Emissionsfaktoren_Lebenszyklus!$C$5:$J$17,6,FALSE),0)*G119</f>
        <v>0</v>
      </c>
      <c r="I119" s="65" t="s">
        <v>293</v>
      </c>
      <c r="J119" s="116"/>
      <c r="K119" s="88"/>
      <c r="L119" s="511"/>
      <c r="M119" s="358"/>
      <c r="N119" s="358"/>
    </row>
    <row r="120" spans="1:14">
      <c r="A120" s="511"/>
      <c r="C120" s="531"/>
      <c r="D120" s="358"/>
      <c r="E120" s="474"/>
      <c r="F120" s="404"/>
      <c r="G120" s="358"/>
      <c r="H120" s="358"/>
      <c r="I120" s="65"/>
      <c r="J120" s="118"/>
      <c r="K120" s="88"/>
      <c r="L120" s="511"/>
      <c r="M120" s="358"/>
      <c r="N120" s="358"/>
    </row>
    <row r="121" spans="1:14">
      <c r="A121" s="511"/>
      <c r="C121" s="531"/>
      <c r="D121" s="358"/>
      <c r="E121" s="474" t="s">
        <v>281</v>
      </c>
      <c r="F121" s="517" t="s">
        <v>128</v>
      </c>
      <c r="G121" s="522"/>
      <c r="H121" s="511">
        <f>IFERROR(VLOOKUP(F121,Emissionsfaktoren_Lebenszyklus!$C$5:$J$17,6,FALSE),0)*G121</f>
        <v>0</v>
      </c>
      <c r="I121" s="65" t="s">
        <v>293</v>
      </c>
      <c r="J121" s="317"/>
      <c r="K121" s="88"/>
      <c r="L121" s="511"/>
      <c r="M121" s="358"/>
      <c r="N121" s="358"/>
    </row>
    <row r="122" spans="1:14">
      <c r="A122" s="511"/>
      <c r="C122" s="531"/>
      <c r="D122" s="358"/>
      <c r="E122" s="474"/>
      <c r="F122" s="404"/>
      <c r="G122" s="358"/>
      <c r="H122" s="358"/>
      <c r="I122" s="65"/>
      <c r="J122" s="317"/>
      <c r="K122" s="88"/>
      <c r="L122" s="511"/>
      <c r="M122" s="358"/>
      <c r="N122" s="358"/>
    </row>
    <row r="123" spans="1:14">
      <c r="A123" s="511"/>
      <c r="C123" s="531"/>
      <c r="D123" s="358"/>
      <c r="E123" s="474" t="s">
        <v>295</v>
      </c>
      <c r="F123" s="517" t="s">
        <v>128</v>
      </c>
      <c r="G123" s="522"/>
      <c r="H123" s="511">
        <f>IFERROR(VLOOKUP(F123,Emissionsfaktoren_Lebenszyklus!$C$5:$J$17,6,FALSE),0)*G123</f>
        <v>0</v>
      </c>
      <c r="I123" s="65" t="s">
        <v>293</v>
      </c>
      <c r="J123" s="317"/>
      <c r="K123" s="88"/>
      <c r="L123" s="511"/>
      <c r="M123" s="358"/>
      <c r="N123" s="358"/>
    </row>
    <row r="124" spans="1:14">
      <c r="A124" s="511"/>
      <c r="C124" s="531"/>
      <c r="D124" s="358"/>
      <c r="E124" s="358"/>
      <c r="F124" s="404"/>
      <c r="G124" s="86"/>
      <c r="H124" s="86"/>
      <c r="I124" s="85"/>
      <c r="J124" s="404"/>
      <c r="K124" s="88"/>
      <c r="L124" s="511"/>
      <c r="M124" s="358"/>
      <c r="N124" s="358"/>
    </row>
    <row r="125" spans="1:14" ht="15" thickBot="1">
      <c r="A125" s="511"/>
      <c r="C125" s="538"/>
      <c r="D125" s="539"/>
      <c r="E125" s="539"/>
      <c r="F125" s="539"/>
      <c r="G125" s="539"/>
      <c r="H125" s="539"/>
      <c r="I125" s="539"/>
      <c r="J125" s="540"/>
      <c r="K125" s="84"/>
      <c r="L125" s="511"/>
      <c r="M125" s="358"/>
      <c r="N125" s="358"/>
    </row>
    <row r="126" spans="1:14" ht="15" thickTop="1">
      <c r="A126" s="511"/>
      <c r="C126" s="358"/>
      <c r="D126" s="358"/>
      <c r="E126" s="358"/>
      <c r="F126" s="404"/>
      <c r="G126" s="358"/>
      <c r="H126" s="358"/>
      <c r="I126" s="358"/>
      <c r="J126" s="404"/>
      <c r="K126" s="404"/>
      <c r="L126" s="511"/>
      <c r="M126" s="358"/>
      <c r="N126" s="358"/>
    </row>
    <row r="127" spans="1:14">
      <c r="A127" s="511"/>
      <c r="B127" s="229"/>
      <c r="C127" s="511"/>
      <c r="D127" s="511"/>
      <c r="E127" s="511"/>
      <c r="F127" s="512"/>
      <c r="G127" s="511"/>
      <c r="H127" s="511"/>
      <c r="I127" s="511"/>
      <c r="J127" s="512"/>
      <c r="K127" s="512"/>
      <c r="L127" s="511"/>
      <c r="M127" s="358"/>
      <c r="N127" s="358"/>
    </row>
  </sheetData>
  <phoneticPr fontId="36" type="noConversion"/>
  <dataValidations count="1">
    <dataValidation allowBlank="1" showInputMessage="1" sqref="F21:F39" xr:uid="{00000000-0002-0000-0900-000000000000}"/>
  </dataValidations>
  <hyperlinks>
    <hyperlink ref="J89" r:id="rId1" xr:uid="{7F7753CD-768F-4AC4-AEEB-BC4CC8ED0920}"/>
    <hyperlink ref="J68" r:id="rId2" xr:uid="{BE22FEE6-3D67-4035-A839-05E56B2D69F8}"/>
    <hyperlink ref="I3" location="'Aufbau LCC-CO2-Tool'!A1" display="zurück zur Übersicht" xr:uid="{D5EA91E1-8D1C-45BD-93FA-7AA887EA6402}"/>
    <hyperlink ref="I4" location="'Anleitung für Beschaffende'!A18" display="zurück zur Anleitung für Beschaffende " xr:uid="{5B8F573C-1FCD-4E45-A1C6-98445AA3DD14}"/>
    <hyperlink ref="I5" location="'Anleitung für Bietende'!A14" display="zurück zur Anleitung für Bietende" xr:uid="{73568141-3711-4439-9B5B-8803CA4342AC}"/>
  </hyperlinks>
  <pageMargins left="0.70866141732283472" right="0.70866141732283472" top="0.78740157480314965" bottom="0.78740157480314965" header="0.31496062992125984" footer="0.31496062992125984"/>
  <pageSetup paperSize="9" scale="33" orientation="portrait" r:id="rId3"/>
  <headerFooter>
    <oddHeader>&amp;C&amp;14&amp;KFF0000TESTVERSION!</oddHeader>
    <oddFooter>&amp;L&amp;8&amp;K000000LCC-CO2-Tool - Arbeitshilfe des Umweltbundesamtes&amp;C&amp;8Berechnung der THG-Emissionen &amp;Uohne&amp;U Zertifikat&amp;R&amp;8&amp;P</oddFooter>
  </headerFooter>
  <drawing r:id="rId4"/>
  <legacyDrawing r:id="rId5"/>
  <extLst>
    <ext xmlns:x14="http://schemas.microsoft.com/office/spreadsheetml/2009/9/main" uri="{CCE6A557-97BC-4b89-ADB6-D9C93CAAB3DF}">
      <x14:dataValidations xmlns:xm="http://schemas.microsoft.com/office/excel/2006/main" count="5">
        <x14:dataValidation type="list" allowBlank="1" showInputMessage="1" xr:uid="{00000000-0002-0000-0900-000005000000}">
          <x14:formula1>
            <xm:f>Emissionsfaktoren_Lebenszyklus!$C$3:$C$17</xm:f>
          </x14:formula1>
          <xm:sqref>F111 F109 F123 F121 F119 F117 F115 F113</xm:sqref>
        </x14:dataValidation>
        <x14:dataValidation type="list" allowBlank="1" showInputMessage="1" xr:uid="{61670B36-3B60-46B8-9618-284674D51701}">
          <x14:formula1>
            <xm:f>Emissionsfaktoren_Prozesse!$D$106:$D$156</xm:f>
          </x14:formula1>
          <xm:sqref>F77 F89 F87 F85 F83 F81 F79</xm:sqref>
        </x14:dataValidation>
        <x14:dataValidation type="list" allowBlank="1" showInputMessage="1" xr:uid="{DF60666A-D73D-4988-8793-22196F362E30}">
          <x14:formula1>
            <xm:f>Emissionsfaktoren_Prozesse!$E$3:$E$103</xm:f>
          </x14:formula1>
          <xm:sqref>F102:F104</xm:sqref>
        </x14:dataValidation>
        <x14:dataValidation type="list" allowBlank="1" showInputMessage="1" showErrorMessage="1" xr:uid="{B731432A-CB87-4EAF-B108-0E11796894D3}">
          <x14:formula1>
            <xm:f>Emissionsfaktoren_Prozesse!$D$159:$D$183</xm:f>
          </x14:formula1>
          <xm:sqref>F60 F62 F64 F66 F68 F70 F72</xm:sqref>
        </x14:dataValidation>
        <x14:dataValidation type="list" allowBlank="1" showInputMessage="1" xr:uid="{3512E2FB-1004-4CC2-BE13-3510475852BA}">
          <x14:formula1>
            <xm:f>Emissionsfaktoren_Stoffe!$C$3:$C$453</xm:f>
          </x14:formula1>
          <xm:sqref>E39 E23 E25 E27 E29 E31 E33 E35 E37 E21</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80C65-9072-4C20-A4D7-843806C869C0}">
  <sheetPr>
    <tabColor rgb="FFD9BBD8"/>
    <pageSetUpPr fitToPage="1"/>
  </sheetPr>
  <dimension ref="A1:AM47"/>
  <sheetViews>
    <sheetView showGridLines="0" topLeftCell="A11" zoomScale="80" zoomScaleNormal="80" workbookViewId="0">
      <selection activeCell="M35" sqref="M35"/>
    </sheetView>
  </sheetViews>
  <sheetFormatPr baseColWidth="10" defaultColWidth="8" defaultRowHeight="14.5"/>
  <cols>
    <col min="1" max="1" width="2.08203125" style="756" customWidth="1"/>
    <col min="2" max="2" width="3.58203125" style="756" customWidth="1"/>
    <col min="3" max="3" width="2.08203125" style="756" customWidth="1"/>
    <col min="4" max="4" width="45.58203125" style="756" customWidth="1"/>
    <col min="5" max="6" width="20.58203125" style="756" customWidth="1"/>
    <col min="7" max="7" width="3.58203125" style="756" customWidth="1"/>
    <col min="8" max="8" width="2.08203125" style="756" customWidth="1"/>
    <col min="9" max="9" width="2.58203125" style="756" customWidth="1"/>
    <col min="10" max="10" width="2.08203125" style="756" customWidth="1"/>
    <col min="11" max="11" width="4.58203125" style="756" customWidth="1"/>
    <col min="12" max="14" width="20.58203125" style="756" customWidth="1"/>
    <col min="15" max="15" width="50.58203125" style="756" customWidth="1"/>
    <col min="16" max="16" width="2.08203125" style="756" customWidth="1"/>
    <col min="17" max="17" width="2.58203125" style="756" customWidth="1"/>
    <col min="18" max="18" width="2.08203125" style="756" customWidth="1"/>
    <col min="19" max="22" width="8" style="756" customWidth="1"/>
    <col min="23" max="23" width="8" style="756"/>
    <col min="24" max="31" width="8" style="756" customWidth="1"/>
    <col min="32" max="32" width="8" style="756"/>
    <col min="33" max="33" width="8" style="756" customWidth="1"/>
    <col min="34" max="34" width="8" style="756"/>
    <col min="35" max="37" width="8" style="756" customWidth="1"/>
    <col min="38" max="38" width="4.25" style="756" customWidth="1"/>
    <col min="39" max="39" width="4" style="756" customWidth="1"/>
    <col min="40" max="16384" width="8" style="756"/>
  </cols>
  <sheetData>
    <row r="1" spans="1:39" ht="14.5" customHeight="1" thickBot="1">
      <c r="A1" s="808"/>
      <c r="B1" s="808"/>
      <c r="C1" s="808"/>
      <c r="D1" s="808"/>
      <c r="E1" s="808"/>
      <c r="F1" s="808"/>
      <c r="G1" s="808"/>
      <c r="H1" s="808"/>
      <c r="I1" s="808"/>
      <c r="J1" s="808"/>
      <c r="K1" s="808"/>
      <c r="L1" s="808"/>
      <c r="M1" s="808"/>
      <c r="N1" s="808"/>
      <c r="O1" s="808"/>
      <c r="P1" s="808"/>
      <c r="Q1" s="808"/>
      <c r="R1" s="755"/>
      <c r="S1" s="757"/>
      <c r="T1" s="757"/>
      <c r="U1" s="757"/>
      <c r="V1" s="757"/>
      <c r="W1" s="757"/>
      <c r="X1" s="757"/>
      <c r="Y1" s="757"/>
      <c r="Z1" s="757"/>
      <c r="AA1" s="757"/>
      <c r="AB1" s="757"/>
      <c r="AC1" s="757"/>
      <c r="AD1" s="757"/>
      <c r="AE1" s="757"/>
      <c r="AF1" s="757"/>
      <c r="AG1" s="757"/>
      <c r="AH1" s="757"/>
      <c r="AI1" s="757"/>
      <c r="AJ1" s="757"/>
      <c r="AK1" s="757"/>
      <c r="AL1" s="757"/>
      <c r="AM1" s="757"/>
    </row>
    <row r="2" spans="1:39" ht="33.5" customHeight="1" thickTop="1">
      <c r="A2" s="755"/>
      <c r="B2" s="757"/>
      <c r="D2" s="630" t="s">
        <v>1717</v>
      </c>
      <c r="E2" s="713"/>
      <c r="F2" s="713"/>
      <c r="G2" s="713"/>
      <c r="H2" s="713"/>
      <c r="I2" s="713"/>
      <c r="J2" s="713"/>
      <c r="K2" s="713"/>
      <c r="L2" s="713"/>
      <c r="M2" s="713"/>
      <c r="N2" s="713"/>
      <c r="O2" s="713"/>
      <c r="P2" s="713"/>
      <c r="R2" s="639"/>
      <c r="S2" s="713"/>
      <c r="T2" s="713"/>
      <c r="U2" s="713"/>
      <c r="V2" s="713"/>
      <c r="W2" s="713"/>
      <c r="X2" s="713"/>
      <c r="Y2" s="713"/>
      <c r="Z2" s="713"/>
      <c r="AA2" s="713"/>
      <c r="AB2" s="713"/>
      <c r="AC2" s="713"/>
      <c r="AD2" s="713"/>
      <c r="AE2" s="713"/>
      <c r="AF2" s="713"/>
      <c r="AG2" s="713"/>
      <c r="AH2" s="713"/>
      <c r="AI2" s="713"/>
      <c r="AJ2" s="713"/>
      <c r="AK2" s="758"/>
      <c r="AL2" s="757"/>
      <c r="AM2" s="757"/>
    </row>
    <row r="3" spans="1:39" ht="33.5" customHeight="1">
      <c r="A3" s="755"/>
      <c r="B3" s="757"/>
      <c r="C3" s="757"/>
      <c r="D3" s="672" t="s">
        <v>92</v>
      </c>
      <c r="F3" s="1001" t="s">
        <v>1886</v>
      </c>
      <c r="G3" s="759"/>
      <c r="H3" s="759"/>
      <c r="I3" s="759"/>
      <c r="J3" s="677"/>
      <c r="K3" s="677"/>
      <c r="L3" s="677"/>
      <c r="M3" s="677"/>
      <c r="N3" s="677"/>
      <c r="O3" s="677"/>
      <c r="P3" s="677"/>
      <c r="R3" s="786"/>
      <c r="S3" s="677"/>
      <c r="T3" s="677"/>
      <c r="U3" s="677"/>
      <c r="V3" s="677"/>
      <c r="W3" s="677"/>
      <c r="X3" s="677"/>
      <c r="Y3" s="677"/>
      <c r="Z3" s="677"/>
      <c r="AA3" s="677"/>
      <c r="AB3" s="677"/>
      <c r="AC3" s="677"/>
      <c r="AD3" s="677"/>
      <c r="AE3" s="677"/>
      <c r="AF3" s="677"/>
      <c r="AG3" s="677"/>
      <c r="AH3" s="677"/>
      <c r="AI3" s="677"/>
      <c r="AJ3" s="677"/>
      <c r="AK3" s="677"/>
      <c r="AL3" s="757"/>
      <c r="AM3" s="757"/>
    </row>
    <row r="4" spans="1:39" ht="24.5" thickBot="1">
      <c r="A4" s="755"/>
      <c r="B4" s="757"/>
      <c r="C4" s="759"/>
      <c r="D4" s="746" t="s">
        <v>44</v>
      </c>
      <c r="E4" s="759"/>
      <c r="F4" s="1001" t="s">
        <v>1887</v>
      </c>
      <c r="G4" s="759"/>
      <c r="H4" s="759"/>
      <c r="I4" s="759"/>
      <c r="J4" s="798" t="s">
        <v>1798</v>
      </c>
      <c r="K4" s="799"/>
      <c r="L4" s="799"/>
      <c r="M4" s="800"/>
      <c r="N4" s="800"/>
      <c r="O4" s="800"/>
      <c r="P4" s="801"/>
      <c r="R4" s="786"/>
      <c r="S4" s="677"/>
      <c r="T4" s="677"/>
      <c r="U4" s="677"/>
      <c r="V4" s="677"/>
      <c r="W4" s="677"/>
      <c r="X4" s="677"/>
      <c r="Y4" s="677"/>
      <c r="Z4" s="677"/>
      <c r="AA4" s="677"/>
      <c r="AB4" s="677"/>
      <c r="AC4" s="677"/>
      <c r="AD4" s="677"/>
      <c r="AE4" s="677"/>
      <c r="AF4" s="677"/>
      <c r="AG4" s="677"/>
      <c r="AH4" s="677"/>
      <c r="AI4" s="677"/>
      <c r="AJ4" s="677"/>
      <c r="AK4" s="677"/>
      <c r="AL4" s="757"/>
      <c r="AM4" s="757"/>
    </row>
    <row r="5" spans="1:39" ht="15" thickTop="1">
      <c r="A5" s="755"/>
      <c r="B5" s="757"/>
      <c r="C5" s="759"/>
      <c r="D5" s="759"/>
      <c r="E5" s="759"/>
      <c r="F5" s="1001" t="s">
        <v>1888</v>
      </c>
      <c r="G5" s="759"/>
      <c r="H5" s="759"/>
      <c r="I5" s="759"/>
      <c r="J5" s="745"/>
      <c r="K5" s="677"/>
      <c r="L5" s="673"/>
      <c r="M5" s="731" t="s">
        <v>1712</v>
      </c>
      <c r="N5" s="673"/>
      <c r="O5" s="673"/>
      <c r="P5" s="802"/>
      <c r="R5" s="786"/>
      <c r="S5" s="677"/>
      <c r="T5" s="677"/>
      <c r="U5" s="677"/>
      <c r="V5" s="677"/>
      <c r="W5" s="677"/>
      <c r="X5" s="677"/>
      <c r="Y5" s="677"/>
      <c r="Z5" s="677"/>
      <c r="AA5" s="677"/>
      <c r="AB5" s="677"/>
      <c r="AC5" s="677"/>
      <c r="AD5" s="677"/>
      <c r="AE5" s="677"/>
      <c r="AF5" s="677"/>
      <c r="AG5" s="677"/>
      <c r="AH5" s="677"/>
      <c r="AI5" s="677"/>
      <c r="AJ5" s="677"/>
      <c r="AK5" s="677"/>
      <c r="AL5" s="757"/>
      <c r="AM5" s="757"/>
    </row>
    <row r="6" spans="1:39">
      <c r="A6" s="755"/>
      <c r="B6" s="757"/>
      <c r="C6" s="759"/>
      <c r="D6" s="709" t="str">
        <f>IF(Einmalkosten!D7="","",Einmalkosten!D7)</f>
        <v/>
      </c>
      <c r="E6" s="695" t="s">
        <v>1705</v>
      </c>
      <c r="F6" s="759"/>
      <c r="G6" s="759"/>
      <c r="H6" s="759"/>
      <c r="I6" s="759"/>
      <c r="J6" s="745"/>
      <c r="K6" s="677"/>
      <c r="L6" s="634">
        <f>SUM(E18,L18,E35)</f>
        <v>228190</v>
      </c>
      <c r="M6" s="634">
        <f>SUM(E18,L18,F35)</f>
        <v>228190</v>
      </c>
      <c r="N6" s="728" t="str">
        <f>CONCATENATE("Gesamtangebotspreis für die Vertragslaufzeit (",D8," Jahre)")</f>
        <v>Gesamtangebotspreis für die Vertragslaufzeit ( Jahre)</v>
      </c>
      <c r="O6" s="673"/>
      <c r="P6" s="803"/>
      <c r="R6" s="762"/>
      <c r="S6" s="761"/>
      <c r="T6" s="775"/>
      <c r="U6" s="775"/>
      <c r="V6" s="775"/>
      <c r="W6" s="677"/>
      <c r="X6" s="677"/>
      <c r="Y6" s="677"/>
      <c r="Z6" s="677"/>
      <c r="AA6" s="677"/>
      <c r="AB6" s="677"/>
      <c r="AC6" s="677"/>
      <c r="AD6" s="677"/>
      <c r="AE6" s="677"/>
      <c r="AF6" s="677"/>
      <c r="AG6" s="677"/>
      <c r="AH6" s="677"/>
      <c r="AI6" s="677"/>
      <c r="AJ6" s="677"/>
      <c r="AK6" s="677"/>
      <c r="AL6" s="757"/>
      <c r="AM6" s="757"/>
    </row>
    <row r="7" spans="1:39">
      <c r="A7" s="755"/>
      <c r="B7" s="757"/>
      <c r="C7" s="759"/>
      <c r="D7" s="698"/>
      <c r="E7" s="697" t="s">
        <v>1706</v>
      </c>
      <c r="F7" s="759"/>
      <c r="G7" s="759"/>
      <c r="H7" s="759"/>
      <c r="I7" s="759"/>
      <c r="J7" s="745"/>
      <c r="K7" s="677"/>
      <c r="L7" s="729"/>
      <c r="M7" s="980"/>
      <c r="N7" s="728" t="str">
        <f>CONCATENATE("Bei Laufzeitoption: Gesamtangebotspreis nur für zusätzlichen Optionszeitraum (",D9," Jahre)")</f>
        <v>Bei Laufzeitoption: Gesamtangebotspreis nur für zusätzlichen Optionszeitraum ( Jahre)</v>
      </c>
      <c r="O7" s="673"/>
      <c r="P7" s="802"/>
      <c r="R7" s="786"/>
      <c r="S7" s="677"/>
      <c r="T7" s="209"/>
      <c r="U7" s="209"/>
      <c r="V7" s="209"/>
      <c r="W7" s="677"/>
      <c r="X7" s="677"/>
      <c r="Y7" s="677"/>
      <c r="Z7" s="677"/>
      <c r="AA7" s="677"/>
      <c r="AB7" s="677"/>
      <c r="AC7" s="677"/>
      <c r="AD7" s="677"/>
      <c r="AE7" s="677"/>
      <c r="AF7" s="677"/>
      <c r="AG7" s="677"/>
      <c r="AH7" s="677"/>
      <c r="AI7" s="677"/>
      <c r="AJ7" s="677"/>
      <c r="AK7" s="677"/>
      <c r="AL7" s="757"/>
      <c r="AM7" s="757"/>
    </row>
    <row r="8" spans="1:39" ht="15" thickBot="1">
      <c r="A8" s="755"/>
      <c r="B8" s="757"/>
      <c r="C8" s="759"/>
      <c r="D8" s="716"/>
      <c r="E8" s="695" t="s">
        <v>329</v>
      </c>
      <c r="F8" s="759"/>
      <c r="G8" s="759"/>
      <c r="H8" s="759"/>
      <c r="I8" s="759"/>
      <c r="J8" s="745"/>
      <c r="K8" s="677"/>
      <c r="L8" s="730"/>
      <c r="M8" s="731" t="s">
        <v>1712</v>
      </c>
      <c r="N8" s="732"/>
      <c r="O8" s="673"/>
      <c r="P8" s="804"/>
      <c r="R8" s="639"/>
      <c r="S8" s="713"/>
      <c r="T8" s="775"/>
      <c r="U8" s="775"/>
      <c r="V8" s="775"/>
      <c r="W8" s="677"/>
      <c r="X8" s="677"/>
      <c r="Y8" s="677"/>
      <c r="Z8" s="677"/>
      <c r="AA8" s="677"/>
      <c r="AB8" s="677"/>
      <c r="AC8" s="677"/>
      <c r="AD8" s="677"/>
      <c r="AE8" s="677"/>
      <c r="AF8" s="677"/>
      <c r="AG8" s="677"/>
      <c r="AH8" s="677"/>
      <c r="AI8" s="677"/>
      <c r="AJ8" s="677"/>
      <c r="AK8" s="677"/>
      <c r="AL8" s="757"/>
      <c r="AM8" s="757"/>
    </row>
    <row r="9" spans="1:39" ht="19" thickBot="1">
      <c r="A9" s="755"/>
      <c r="B9" s="757"/>
      <c r="C9" s="677"/>
      <c r="D9" s="715"/>
      <c r="E9" s="714" t="s">
        <v>1710</v>
      </c>
      <c r="F9" s="677"/>
      <c r="G9" s="677"/>
      <c r="H9" s="677"/>
      <c r="I9" s="677"/>
      <c r="J9" s="745"/>
      <c r="K9" s="677"/>
      <c r="L9" s="726">
        <f>SUM(E18,L18,E28)</f>
        <v>298436.477656</v>
      </c>
      <c r="M9" s="727">
        <f>SUM(E18,L18,F28)</f>
        <v>306824.30819952191</v>
      </c>
      <c r="N9" s="752" t="str">
        <f>CONCATENATE("LCC-Kosten über Lebenszyklus (Betrachtungszeitraum ",E11," Jahre)")</f>
        <v>LCC-Kosten über Lebenszyklus (Betrachtungszeitraum 10 Jahre)</v>
      </c>
      <c r="O9" s="772"/>
      <c r="P9" s="802"/>
      <c r="R9" s="786"/>
      <c r="S9" s="677"/>
      <c r="T9" s="677"/>
      <c r="U9" s="677"/>
      <c r="V9" s="677"/>
      <c r="W9" s="677"/>
      <c r="X9" s="677"/>
      <c r="Y9" s="677"/>
      <c r="Z9" s="677"/>
      <c r="AA9" s="677"/>
      <c r="AB9" s="677"/>
      <c r="AC9" s="677"/>
      <c r="AD9" s="677"/>
      <c r="AE9" s="677"/>
      <c r="AF9" s="677"/>
      <c r="AG9" s="677"/>
      <c r="AH9" s="677"/>
      <c r="AI9" s="677"/>
      <c r="AJ9" s="677"/>
      <c r="AK9" s="677"/>
      <c r="AL9" s="757"/>
      <c r="AM9" s="757"/>
    </row>
    <row r="10" spans="1:39" ht="21" thickBot="1">
      <c r="A10" s="755"/>
      <c r="B10" s="760"/>
      <c r="C10" s="677"/>
      <c r="D10" s="677"/>
      <c r="E10" s="677"/>
      <c r="F10" s="677"/>
      <c r="G10" s="714"/>
      <c r="H10" s="714"/>
      <c r="I10" s="714"/>
      <c r="J10" s="745"/>
      <c r="K10" s="714"/>
      <c r="L10" s="796">
        <f>N31</f>
        <v>39769.481143961399</v>
      </c>
      <c r="M10" s="795"/>
      <c r="N10" s="797" t="s">
        <v>1799</v>
      </c>
      <c r="O10" s="774"/>
      <c r="P10" s="802"/>
      <c r="R10" s="787"/>
      <c r="S10" s="714"/>
      <c r="T10" s="635"/>
      <c r="U10" s="677"/>
      <c r="V10" s="677"/>
      <c r="W10" s="677"/>
      <c r="X10" s="677"/>
      <c r="Y10" s="677"/>
      <c r="Z10" s="677"/>
      <c r="AA10" s="677"/>
      <c r="AB10" s="677"/>
      <c r="AC10" s="677"/>
      <c r="AD10" s="677"/>
      <c r="AE10" s="677"/>
      <c r="AF10" s="677"/>
      <c r="AG10" s="677"/>
      <c r="AH10" s="677"/>
      <c r="AI10" s="677"/>
      <c r="AJ10" s="677"/>
      <c r="AK10" s="677"/>
      <c r="AL10" s="757"/>
      <c r="AM10" s="757"/>
    </row>
    <row r="11" spans="1:39">
      <c r="A11" s="755"/>
      <c r="B11" s="760"/>
      <c r="C11" s="677"/>
      <c r="D11" s="1008" t="s">
        <v>1908</v>
      </c>
      <c r="E11" s="747">
        <f>Nutzung!C8</f>
        <v>10</v>
      </c>
      <c r="F11" s="747" t="str">
        <f>Nutzung!D8</f>
        <v xml:space="preserve">Jahr(e) </v>
      </c>
      <c r="G11" s="714"/>
      <c r="H11" s="714"/>
      <c r="I11" s="714"/>
      <c r="J11" s="745"/>
      <c r="K11" s="714"/>
      <c r="L11" s="673"/>
      <c r="M11" s="731" t="s">
        <v>1712</v>
      </c>
      <c r="N11" s="697"/>
      <c r="O11" s="673"/>
      <c r="P11" s="802"/>
      <c r="R11" s="787"/>
      <c r="S11" s="714"/>
      <c r="T11" s="677"/>
      <c r="U11" s="677"/>
      <c r="V11" s="677"/>
      <c r="W11" s="677"/>
      <c r="X11" s="677"/>
      <c r="Y11" s="677"/>
      <c r="Z11" s="677"/>
      <c r="AA11" s="677"/>
      <c r="AB11" s="677"/>
      <c r="AC11" s="677"/>
      <c r="AD11" s="677"/>
      <c r="AE11" s="677"/>
      <c r="AF11" s="677"/>
      <c r="AG11" s="677"/>
      <c r="AH11" s="677"/>
      <c r="AI11" s="677"/>
      <c r="AJ11" s="677"/>
      <c r="AK11" s="677"/>
      <c r="AL11" s="757"/>
      <c r="AM11" s="757"/>
    </row>
    <row r="12" spans="1:39">
      <c r="A12" s="755"/>
      <c r="B12" s="760"/>
      <c r="C12" s="677"/>
      <c r="D12" s="748" t="s">
        <v>1714</v>
      </c>
      <c r="E12" s="749">
        <f>Produktion!C5</f>
        <v>100</v>
      </c>
      <c r="F12" s="749" t="str">
        <f>Produktion!D5</f>
        <v>Arbeitsplatzcomputer, Variante Desktop-PC 3 Jahre</v>
      </c>
      <c r="G12" s="714"/>
      <c r="H12" s="714"/>
      <c r="I12" s="714"/>
      <c r="J12" s="745"/>
      <c r="K12" s="714"/>
      <c r="L12" s="733">
        <f>IFERROR(SUM(E18,L18,E28)/E11,0)</f>
        <v>29843.647765599999</v>
      </c>
      <c r="M12" s="733">
        <f>IFERROR(SUM(E18,L18,F28)/E11,0)</f>
        <v>30682.430819952191</v>
      </c>
      <c r="N12" s="734" t="s">
        <v>1720</v>
      </c>
      <c r="O12" s="714"/>
      <c r="P12" s="802"/>
      <c r="R12" s="787"/>
      <c r="S12" s="714"/>
      <c r="T12" s="776"/>
      <c r="U12" s="677"/>
      <c r="V12" s="677"/>
      <c r="W12" s="677"/>
      <c r="X12" s="677"/>
      <c r="Y12" s="677"/>
      <c r="Z12" s="677"/>
      <c r="AA12" s="677"/>
      <c r="AB12" s="677"/>
      <c r="AC12" s="677"/>
      <c r="AD12" s="677"/>
      <c r="AE12" s="677"/>
      <c r="AF12" s="677"/>
      <c r="AG12" s="677"/>
      <c r="AH12" s="677"/>
      <c r="AI12" s="677"/>
      <c r="AJ12" s="677"/>
      <c r="AK12" s="677"/>
      <c r="AL12" s="757"/>
      <c r="AM12" s="757"/>
    </row>
    <row r="13" spans="1:39">
      <c r="A13" s="755"/>
      <c r="B13" s="760"/>
      <c r="C13" s="677"/>
      <c r="D13" s="677"/>
      <c r="E13" s="677"/>
      <c r="F13" s="677"/>
      <c r="G13" s="714"/>
      <c r="H13" s="714"/>
      <c r="I13" s="714"/>
      <c r="J13" s="745"/>
      <c r="K13" s="714"/>
      <c r="L13" s="714"/>
      <c r="M13" s="714"/>
      <c r="N13" s="714"/>
      <c r="O13" s="714"/>
      <c r="P13" s="802"/>
      <c r="R13" s="787"/>
      <c r="S13" s="714"/>
      <c r="T13" s="677"/>
      <c r="U13" s="677"/>
      <c r="V13" s="677"/>
      <c r="W13" s="677"/>
      <c r="X13" s="677"/>
      <c r="Y13" s="677"/>
      <c r="Z13" s="677"/>
      <c r="AA13" s="677"/>
      <c r="AB13" s="677"/>
      <c r="AC13" s="677"/>
      <c r="AD13" s="677"/>
      <c r="AE13" s="677"/>
      <c r="AF13" s="677"/>
      <c r="AG13" s="677"/>
      <c r="AH13" s="677"/>
      <c r="AI13" s="677"/>
      <c r="AJ13" s="677"/>
      <c r="AK13" s="677"/>
      <c r="AL13" s="757"/>
      <c r="AM13" s="757"/>
    </row>
    <row r="14" spans="1:39">
      <c r="A14" s="755"/>
      <c r="B14" s="760"/>
      <c r="C14" s="677"/>
      <c r="D14" s="677"/>
      <c r="E14" s="677"/>
      <c r="F14" s="677"/>
      <c r="G14" s="714"/>
      <c r="H14" s="714"/>
      <c r="I14" s="714"/>
      <c r="J14" s="745"/>
      <c r="K14" s="787"/>
      <c r="L14" s="787"/>
      <c r="M14" s="787"/>
      <c r="N14" s="787"/>
      <c r="O14" s="787"/>
      <c r="P14" s="787"/>
      <c r="R14" s="787"/>
      <c r="S14" s="714"/>
      <c r="T14" s="677"/>
      <c r="U14" s="677"/>
      <c r="V14" s="677"/>
      <c r="W14" s="677"/>
      <c r="X14" s="677"/>
      <c r="Y14" s="677"/>
      <c r="Z14" s="677"/>
      <c r="AA14" s="677"/>
      <c r="AB14" s="677"/>
      <c r="AC14" s="677"/>
      <c r="AD14" s="677"/>
      <c r="AE14" s="677"/>
      <c r="AF14" s="677"/>
      <c r="AG14" s="677"/>
      <c r="AH14" s="677"/>
      <c r="AI14" s="677"/>
      <c r="AJ14" s="677"/>
      <c r="AK14" s="677"/>
      <c r="AL14" s="757"/>
      <c r="AM14" s="757"/>
    </row>
    <row r="15" spans="1:39">
      <c r="A15" s="755"/>
      <c r="B15" s="760"/>
      <c r="C15" s="677"/>
      <c r="D15" s="677"/>
      <c r="E15" s="677"/>
      <c r="F15" s="677"/>
      <c r="G15" s="714"/>
      <c r="H15" s="714"/>
      <c r="I15" s="714"/>
      <c r="J15" s="714"/>
      <c r="K15" s="714"/>
      <c r="L15" s="714"/>
      <c r="M15" s="714"/>
      <c r="N15" s="714"/>
      <c r="O15" s="714"/>
      <c r="P15" s="714"/>
      <c r="R15" s="787"/>
      <c r="S15" s="714"/>
      <c r="T15" s="677"/>
      <c r="U15" s="677"/>
      <c r="V15" s="677"/>
      <c r="W15" s="677"/>
      <c r="X15" s="677"/>
      <c r="Y15" s="677"/>
      <c r="Z15" s="677"/>
      <c r="AA15" s="677"/>
      <c r="AB15" s="677"/>
      <c r="AC15" s="677"/>
      <c r="AD15" s="677"/>
      <c r="AE15" s="677"/>
      <c r="AF15" s="677"/>
      <c r="AG15" s="677"/>
      <c r="AH15" s="677"/>
      <c r="AI15" s="677"/>
      <c r="AJ15" s="677"/>
      <c r="AK15" s="677"/>
      <c r="AL15" s="757"/>
      <c r="AM15" s="757"/>
    </row>
    <row r="16" spans="1:39">
      <c r="A16" s="755"/>
      <c r="B16" s="757"/>
      <c r="C16" s="685" t="s">
        <v>1698</v>
      </c>
      <c r="D16" s="764"/>
      <c r="E16" s="764"/>
      <c r="F16" s="764"/>
      <c r="G16" s="764"/>
      <c r="H16" s="777"/>
      <c r="I16" s="677"/>
      <c r="J16" s="815" t="s">
        <v>1704</v>
      </c>
      <c r="K16" s="640"/>
      <c r="L16" s="640"/>
      <c r="M16" s="640"/>
      <c r="N16" s="640"/>
      <c r="O16" s="640"/>
      <c r="P16" s="640"/>
      <c r="R16" s="786"/>
      <c r="S16" s="677"/>
      <c r="T16" s="677"/>
      <c r="U16" s="757"/>
      <c r="V16" s="757"/>
      <c r="W16" s="757"/>
      <c r="X16" s="757"/>
      <c r="Y16" s="757"/>
      <c r="Z16" s="757"/>
      <c r="AA16" s="757"/>
      <c r="AB16" s="757"/>
      <c r="AC16" s="757"/>
      <c r="AD16" s="757"/>
      <c r="AE16" s="757"/>
      <c r="AF16" s="757"/>
      <c r="AG16" s="757"/>
      <c r="AH16" s="757"/>
      <c r="AI16" s="757"/>
      <c r="AJ16" s="757"/>
      <c r="AK16" s="757"/>
      <c r="AL16" s="757"/>
      <c r="AM16" s="757"/>
    </row>
    <row r="17" spans="1:39" ht="15" thickBot="1">
      <c r="A17" s="755"/>
      <c r="B17" s="757"/>
      <c r="C17" s="764"/>
      <c r="D17" s="757"/>
      <c r="E17" s="757"/>
      <c r="F17" s="757"/>
      <c r="G17" s="757"/>
      <c r="H17" s="778"/>
      <c r="I17" s="757"/>
      <c r="J17" s="816"/>
      <c r="K17" s="641"/>
      <c r="L17" s="641"/>
      <c r="M17" s="641"/>
      <c r="N17" s="641"/>
      <c r="O17" s="641"/>
      <c r="P17" s="640"/>
      <c r="R17" s="755"/>
      <c r="S17" s="757"/>
      <c r="T17" s="677"/>
      <c r="U17" s="757"/>
      <c r="V17" s="757"/>
      <c r="W17" s="757"/>
      <c r="X17" s="757"/>
      <c r="Y17" s="757"/>
      <c r="Z17" s="757"/>
      <c r="AA17" s="757"/>
      <c r="AB17" s="757"/>
      <c r="AC17" s="757"/>
      <c r="AD17" s="757"/>
      <c r="AE17" s="757"/>
      <c r="AF17" s="757"/>
      <c r="AG17" s="757"/>
      <c r="AH17" s="757"/>
      <c r="AI17" s="757"/>
      <c r="AJ17" s="757"/>
      <c r="AK17" s="757"/>
      <c r="AL17" s="757"/>
      <c r="AM17" s="757"/>
    </row>
    <row r="18" spans="1:39" ht="19" thickBot="1">
      <c r="A18" s="755"/>
      <c r="B18" s="757"/>
      <c r="C18" s="765"/>
      <c r="D18" s="717" t="s">
        <v>1697</v>
      </c>
      <c r="E18" s="718">
        <f>IFERROR(E12*Einmalkosten!G32,0)</f>
        <v>228190</v>
      </c>
      <c r="F18" s="761"/>
      <c r="G18" s="761"/>
      <c r="H18" s="779"/>
      <c r="I18" s="761"/>
      <c r="J18" s="817"/>
      <c r="K18" s="352"/>
      <c r="L18" s="719">
        <f>IFERROR(SUM(L20,L22),0)</f>
        <v>0</v>
      </c>
      <c r="M18" s="720" t="s">
        <v>330</v>
      </c>
      <c r="N18" s="53"/>
      <c r="O18" s="53"/>
      <c r="P18" s="640"/>
      <c r="R18" s="788"/>
      <c r="S18" s="768"/>
      <c r="T18" s="781"/>
      <c r="U18" s="781"/>
      <c r="V18" s="757"/>
      <c r="W18" s="761"/>
      <c r="X18" s="761"/>
      <c r="Y18" s="761"/>
      <c r="Z18" s="757"/>
      <c r="AA18" s="649"/>
      <c r="AB18" s="649"/>
      <c r="AC18" s="649"/>
      <c r="AD18" s="649"/>
      <c r="AE18" s="649"/>
      <c r="AF18" s="757"/>
      <c r="AG18" s="757"/>
      <c r="AH18" s="757"/>
      <c r="AI18" s="757"/>
      <c r="AJ18" s="757"/>
      <c r="AK18" s="757"/>
      <c r="AL18" s="757"/>
      <c r="AM18" s="757"/>
    </row>
    <row r="19" spans="1:39">
      <c r="A19" s="755"/>
      <c r="B19" s="757"/>
      <c r="C19" s="764"/>
      <c r="D19" s="8"/>
      <c r="E19" s="757"/>
      <c r="F19" s="760"/>
      <c r="G19" s="760"/>
      <c r="H19" s="780"/>
      <c r="I19" s="760"/>
      <c r="J19" s="816"/>
      <c r="K19" s="53"/>
      <c r="L19" s="641"/>
      <c r="M19" s="691"/>
      <c r="N19" s="53"/>
      <c r="O19" s="641"/>
      <c r="P19" s="640"/>
      <c r="R19" s="755"/>
      <c r="S19" s="757"/>
      <c r="T19" s="677"/>
      <c r="U19" s="757"/>
      <c r="V19" s="757"/>
      <c r="W19" s="757"/>
      <c r="X19" s="757"/>
      <c r="Y19" s="757"/>
      <c r="Z19" s="757"/>
      <c r="AA19" s="757"/>
      <c r="AB19" s="757"/>
      <c r="AC19" s="757"/>
      <c r="AD19" s="757"/>
      <c r="AE19" s="757"/>
      <c r="AF19" s="757"/>
      <c r="AG19" s="757"/>
      <c r="AH19" s="757"/>
      <c r="AI19" s="757"/>
      <c r="AJ19" s="757"/>
      <c r="AK19" s="757"/>
      <c r="AL19" s="757"/>
      <c r="AM19" s="757"/>
    </row>
    <row r="20" spans="1:39">
      <c r="A20" s="755"/>
      <c r="B20" s="757"/>
      <c r="C20" s="764"/>
      <c r="D20" s="974"/>
      <c r="E20" s="978"/>
      <c r="F20" s="761"/>
      <c r="G20" s="761"/>
      <c r="H20" s="779"/>
      <c r="I20" s="761"/>
      <c r="J20" s="816"/>
      <c r="K20" s="53"/>
      <c r="L20" s="648">
        <f>IFERROR(E12*'Transport+Installationskosten'!E11,0)</f>
        <v>0</v>
      </c>
      <c r="M20" s="602" t="s">
        <v>331</v>
      </c>
      <c r="N20" s="53"/>
      <c r="O20" s="641"/>
      <c r="P20" s="640"/>
      <c r="R20" s="789"/>
      <c r="S20" s="649"/>
      <c r="T20" s="763"/>
      <c r="U20" s="763"/>
      <c r="V20" s="757"/>
      <c r="W20" s="757"/>
      <c r="X20" s="757"/>
      <c r="Y20" s="757"/>
      <c r="Z20" s="757"/>
      <c r="AA20" s="757"/>
      <c r="AB20" s="757"/>
      <c r="AC20" s="757"/>
      <c r="AD20" s="757"/>
      <c r="AE20" s="757"/>
      <c r="AF20" s="757"/>
      <c r="AG20" s="757"/>
      <c r="AH20" s="757"/>
      <c r="AI20" s="757"/>
      <c r="AJ20" s="757"/>
      <c r="AK20" s="757"/>
      <c r="AL20" s="757"/>
      <c r="AM20" s="757"/>
    </row>
    <row r="21" spans="1:39">
      <c r="A21" s="755"/>
      <c r="B21" s="757"/>
      <c r="C21" s="764"/>
      <c r="D21" s="976"/>
      <c r="E21" s="979"/>
      <c r="F21" s="760"/>
      <c r="G21" s="760"/>
      <c r="H21" s="780"/>
      <c r="I21" s="760"/>
      <c r="J21" s="816"/>
      <c r="K21" s="53"/>
      <c r="L21" s="650"/>
      <c r="M21" s="691"/>
      <c r="N21" s="53"/>
      <c r="O21" s="641"/>
      <c r="P21" s="640"/>
      <c r="R21" s="755"/>
      <c r="S21" s="757"/>
      <c r="T21" s="677"/>
      <c r="U21" s="757"/>
      <c r="V21" s="757"/>
      <c r="W21" s="757"/>
      <c r="X21" s="757"/>
      <c r="Y21" s="757"/>
      <c r="Z21" s="757"/>
      <c r="AA21" s="757"/>
      <c r="AB21" s="757"/>
      <c r="AC21" s="757"/>
      <c r="AD21" s="757"/>
      <c r="AE21" s="757"/>
      <c r="AF21" s="757"/>
      <c r="AG21" s="757"/>
      <c r="AH21" s="757"/>
      <c r="AI21" s="757"/>
      <c r="AJ21" s="757"/>
      <c r="AK21" s="757"/>
      <c r="AL21" s="757"/>
      <c r="AM21" s="757"/>
    </row>
    <row r="22" spans="1:39">
      <c r="A22" s="755"/>
      <c r="B22" s="757"/>
      <c r="C22" s="764"/>
      <c r="D22" s="974"/>
      <c r="E22" s="978"/>
      <c r="F22" s="761"/>
      <c r="G22" s="761"/>
      <c r="H22" s="779"/>
      <c r="I22" s="761"/>
      <c r="J22" s="816"/>
      <c r="K22" s="53"/>
      <c r="L22" s="648">
        <f>IFERROR(E12*'Transport+Installationskosten'!E17,0)</f>
        <v>0</v>
      </c>
      <c r="M22" s="602" t="s">
        <v>332</v>
      </c>
      <c r="N22" s="53"/>
      <c r="O22" s="53"/>
      <c r="P22" s="640"/>
      <c r="R22" s="789"/>
      <c r="S22" s="649"/>
      <c r="T22" s="763"/>
      <c r="U22" s="763"/>
      <c r="V22" s="757"/>
      <c r="W22" s="754"/>
      <c r="X22" s="754"/>
      <c r="Y22" s="754"/>
      <c r="Z22" s="757"/>
      <c r="AA22" s="649"/>
      <c r="AB22" s="649"/>
      <c r="AC22" s="649"/>
      <c r="AD22" s="649"/>
      <c r="AE22" s="649"/>
      <c r="AF22" s="757"/>
      <c r="AG22" s="757"/>
      <c r="AH22" s="757"/>
      <c r="AI22" s="757"/>
      <c r="AJ22" s="757"/>
      <c r="AK22" s="757"/>
      <c r="AL22" s="757"/>
      <c r="AM22" s="757"/>
    </row>
    <row r="23" spans="1:39">
      <c r="A23" s="755"/>
      <c r="B23" s="757"/>
      <c r="C23" s="764"/>
      <c r="D23" s="976"/>
      <c r="E23" s="979"/>
      <c r="F23" s="760"/>
      <c r="G23" s="760"/>
      <c r="H23" s="780"/>
      <c r="I23" s="760"/>
      <c r="J23" s="816"/>
      <c r="K23" s="53"/>
      <c r="L23" s="53"/>
      <c r="M23" s="53"/>
      <c r="N23" s="53"/>
      <c r="O23" s="641"/>
      <c r="P23" s="640"/>
      <c r="R23" s="755"/>
      <c r="S23" s="757"/>
      <c r="T23" s="677"/>
      <c r="U23" s="757"/>
      <c r="V23" s="757"/>
      <c r="W23" s="757"/>
      <c r="X23" s="757"/>
      <c r="Y23" s="757"/>
      <c r="Z23" s="757"/>
      <c r="AA23" s="757"/>
      <c r="AB23" s="757"/>
      <c r="AC23" s="757"/>
      <c r="AD23" s="757"/>
      <c r="AE23" s="757"/>
      <c r="AF23" s="757"/>
      <c r="AG23" s="757"/>
      <c r="AH23" s="757"/>
      <c r="AI23" s="757"/>
      <c r="AJ23" s="757"/>
      <c r="AK23" s="757"/>
      <c r="AL23" s="757"/>
      <c r="AM23" s="757"/>
    </row>
    <row r="24" spans="1:39" ht="14.5" customHeight="1">
      <c r="A24" s="755"/>
      <c r="B24" s="757"/>
      <c r="C24" s="764"/>
      <c r="D24" s="764"/>
      <c r="E24" s="764"/>
      <c r="F24" s="764"/>
      <c r="G24" s="764"/>
      <c r="H24" s="777"/>
      <c r="I24" s="677"/>
      <c r="J24" s="815"/>
      <c r="K24" s="640"/>
      <c r="L24" s="640"/>
      <c r="M24" s="640"/>
      <c r="N24" s="640"/>
      <c r="O24" s="640"/>
      <c r="P24" s="640"/>
      <c r="R24" s="786"/>
      <c r="S24" s="677"/>
      <c r="T24" s="631"/>
      <c r="U24" s="790"/>
      <c r="V24" s="761"/>
      <c r="W24" s="757"/>
      <c r="X24" s="757"/>
      <c r="Y24" s="757"/>
      <c r="Z24" s="757"/>
      <c r="AA24" s="757"/>
      <c r="AB24" s="757"/>
      <c r="AC24" s="757"/>
      <c r="AD24" s="757"/>
      <c r="AE24" s="757"/>
      <c r="AF24" s="757"/>
      <c r="AG24" s="757"/>
      <c r="AH24" s="757"/>
      <c r="AI24" s="757"/>
      <c r="AJ24" s="757"/>
      <c r="AK24" s="757"/>
      <c r="AL24" s="757"/>
      <c r="AM24" s="757"/>
    </row>
    <row r="25" spans="1:39">
      <c r="A25" s="755"/>
      <c r="B25" s="757"/>
      <c r="I25" s="805"/>
      <c r="J25" s="766"/>
      <c r="K25" s="755"/>
      <c r="L25" s="755"/>
      <c r="M25" s="755"/>
      <c r="N25" s="755"/>
      <c r="O25" s="755"/>
      <c r="P25" s="755"/>
      <c r="Q25" s="755"/>
      <c r="R25" s="755"/>
      <c r="S25" s="757"/>
      <c r="T25" s="757"/>
      <c r="U25" s="757"/>
      <c r="V25" s="757"/>
      <c r="W25" s="757"/>
      <c r="X25" s="757"/>
      <c r="Y25" s="757"/>
      <c r="Z25" s="757"/>
      <c r="AA25" s="757"/>
      <c r="AB25" s="757"/>
      <c r="AC25" s="757"/>
      <c r="AD25" s="757"/>
      <c r="AE25" s="757"/>
      <c r="AF25" s="757"/>
      <c r="AG25" s="757"/>
      <c r="AH25" s="757"/>
      <c r="AI25" s="757"/>
      <c r="AJ25" s="757"/>
      <c r="AK25" s="757"/>
      <c r="AL25" s="757"/>
      <c r="AM25" s="757"/>
    </row>
    <row r="26" spans="1:39" ht="14.5" customHeight="1" thickBot="1">
      <c r="A26" s="755"/>
      <c r="B26" s="757"/>
      <c r="C26" s="811" t="s">
        <v>1696</v>
      </c>
      <c r="D26" s="814"/>
      <c r="E26" s="809"/>
      <c r="F26" s="809"/>
      <c r="G26" s="809"/>
      <c r="H26" s="782"/>
      <c r="I26" s="806"/>
      <c r="J26" s="818" t="s">
        <v>1700</v>
      </c>
      <c r="K26" s="767"/>
      <c r="L26" s="767"/>
      <c r="M26" s="767"/>
      <c r="N26" s="767"/>
      <c r="O26" s="767"/>
      <c r="P26" s="767"/>
      <c r="Q26" s="677"/>
      <c r="R26" s="677"/>
      <c r="S26" s="677"/>
      <c r="T26" s="677"/>
      <c r="U26" s="677"/>
      <c r="V26" s="677"/>
      <c r="W26" s="677"/>
      <c r="AK26" s="760"/>
      <c r="AL26" s="757"/>
      <c r="AM26" s="757"/>
    </row>
    <row r="27" spans="1:39" ht="24.5" customHeight="1" thickTop="1" thickBot="1">
      <c r="A27" s="755"/>
      <c r="B27" s="757"/>
      <c r="C27" s="812"/>
      <c r="D27" s="628"/>
      <c r="E27" s="628"/>
      <c r="F27" s="692" t="s">
        <v>1713</v>
      </c>
      <c r="G27" s="761"/>
      <c r="H27" s="764"/>
      <c r="I27" s="807"/>
      <c r="J27" s="819"/>
      <c r="K27" s="6"/>
      <c r="L27" s="6"/>
      <c r="M27" s="6"/>
      <c r="N27" s="6"/>
      <c r="O27" s="6"/>
      <c r="P27" s="767"/>
      <c r="Q27" s="677"/>
      <c r="R27" s="677"/>
      <c r="S27" s="677"/>
      <c r="T27" s="677"/>
      <c r="U27" s="677"/>
      <c r="V27" s="677"/>
      <c r="W27" s="677"/>
      <c r="AK27" s="677"/>
      <c r="AM27" s="757"/>
    </row>
    <row r="28" spans="1:39" ht="40" customHeight="1" thickBot="1">
      <c r="A28" s="755"/>
      <c r="B28" s="757"/>
      <c r="C28" s="812"/>
      <c r="D28" s="721" t="s">
        <v>1926</v>
      </c>
      <c r="E28" s="722">
        <f>IFERROR(SUM(E37,E35,E33),0)</f>
        <v>70246.477656000003</v>
      </c>
      <c r="F28" s="723">
        <f>IFERROR(SUM(F37,F35,F33),0)</f>
        <v>78634.308199521911</v>
      </c>
      <c r="G28" s="688"/>
      <c r="H28" s="764"/>
      <c r="I28" s="807"/>
      <c r="J28" s="819"/>
      <c r="K28" s="53"/>
      <c r="L28" s="717" t="s">
        <v>1716</v>
      </c>
      <c r="M28" s="773">
        <v>195</v>
      </c>
      <c r="N28" s="720" t="s">
        <v>1781</v>
      </c>
      <c r="O28" s="751" t="s">
        <v>1715</v>
      </c>
      <c r="P28" s="767"/>
      <c r="Q28" s="677"/>
      <c r="R28" s="677"/>
      <c r="S28" s="677"/>
      <c r="T28" s="677"/>
      <c r="U28" s="677"/>
      <c r="V28" s="677"/>
      <c r="W28" s="677"/>
      <c r="AK28" s="677"/>
      <c r="AM28" s="757"/>
    </row>
    <row r="29" spans="1:39" ht="14.5" customHeight="1">
      <c r="A29" s="755"/>
      <c r="B29" s="757"/>
      <c r="C29" s="812"/>
      <c r="D29" s="8"/>
      <c r="E29" s="658"/>
      <c r="F29" s="658"/>
      <c r="G29" s="761"/>
      <c r="H29" s="764"/>
      <c r="I29" s="807"/>
      <c r="J29" s="819"/>
      <c r="K29" s="53"/>
      <c r="L29" s="631"/>
      <c r="M29" s="9"/>
      <c r="N29" s="688"/>
      <c r="O29" s="655"/>
      <c r="P29" s="767"/>
      <c r="Q29" s="677"/>
      <c r="R29" s="677"/>
      <c r="S29" s="677"/>
      <c r="T29" s="677"/>
      <c r="U29" s="677"/>
      <c r="V29" s="677"/>
      <c r="W29" s="677"/>
      <c r="AK29" s="677"/>
      <c r="AM29" s="757"/>
    </row>
    <row r="30" spans="1:39" ht="40" customHeight="1" thickBot="1">
      <c r="A30" s="755"/>
      <c r="B30" s="757"/>
      <c r="C30" s="812"/>
      <c r="D30" s="638" t="s">
        <v>1699</v>
      </c>
      <c r="E30" s="660">
        <f>IFERROR(E28/Nutzung!C8,0)</f>
        <v>7024.6477656000006</v>
      </c>
      <c r="F30" s="656">
        <f>IFERROR(F28/Nutzung!C8,0)</f>
        <v>7863.4308199521911</v>
      </c>
      <c r="G30" s="688"/>
      <c r="H30" s="764"/>
      <c r="I30" s="807"/>
      <c r="J30" s="819"/>
      <c r="K30" s="6"/>
      <c r="L30" s="655" t="s">
        <v>333</v>
      </c>
      <c r="M30" s="688" t="s">
        <v>334</v>
      </c>
      <c r="N30" s="725" t="s">
        <v>1711</v>
      </c>
      <c r="O30" s="632"/>
      <c r="P30" s="767"/>
      <c r="Q30" s="677"/>
      <c r="R30" s="677"/>
      <c r="S30" s="677"/>
      <c r="T30" s="677"/>
      <c r="U30" s="677"/>
      <c r="V30" s="677"/>
      <c r="W30" s="677"/>
      <c r="AK30" s="677"/>
      <c r="AM30" s="757"/>
    </row>
    <row r="31" spans="1:39" ht="20" customHeight="1" thickBot="1">
      <c r="A31" s="755"/>
      <c r="B31" s="757"/>
      <c r="C31" s="812"/>
      <c r="D31" s="631"/>
      <c r="E31" s="686"/>
      <c r="F31" s="687"/>
      <c r="G31" s="761"/>
      <c r="H31" s="764"/>
      <c r="I31" s="807"/>
      <c r="J31" s="819"/>
      <c r="K31" s="662" t="s">
        <v>336</v>
      </c>
      <c r="L31" s="677" t="s">
        <v>337</v>
      </c>
      <c r="M31" s="690">
        <f>SUM(M33:M35)</f>
        <v>203946.05714851999</v>
      </c>
      <c r="N31" s="724">
        <f>M31*($M$28/1000)</f>
        <v>39769.481143961399</v>
      </c>
      <c r="O31" s="683"/>
      <c r="P31" s="767"/>
      <c r="Q31" s="677"/>
      <c r="R31" s="677"/>
      <c r="S31" s="677"/>
      <c r="T31" s="677"/>
      <c r="U31" s="677"/>
      <c r="V31" s="677"/>
      <c r="W31" s="677"/>
      <c r="AK31" s="677"/>
      <c r="AM31" s="757"/>
    </row>
    <row r="32" spans="1:39" ht="24.5" customHeight="1">
      <c r="A32" s="755"/>
      <c r="B32" s="757"/>
      <c r="C32" s="812"/>
      <c r="D32" s="750" t="s">
        <v>1925</v>
      </c>
      <c r="E32" s="699"/>
      <c r="F32" s="700" t="s">
        <v>1713</v>
      </c>
      <c r="G32" s="688"/>
      <c r="H32" s="764"/>
      <c r="I32" s="807"/>
      <c r="J32" s="819"/>
      <c r="K32" s="678" t="s">
        <v>338</v>
      </c>
      <c r="L32" s="679" t="s">
        <v>339</v>
      </c>
      <c r="M32" s="689">
        <f>IFERROR(M31/E11,0)</f>
        <v>20394.605714851998</v>
      </c>
      <c r="N32" s="680">
        <f>M32*($M$28/1000)</f>
        <v>3976.9481143961398</v>
      </c>
      <c r="O32" s="683"/>
      <c r="P32" s="767"/>
      <c r="Q32" s="677"/>
      <c r="R32" s="677"/>
      <c r="S32" s="677"/>
      <c r="T32" s="677"/>
      <c r="U32" s="677"/>
      <c r="V32" s="677"/>
      <c r="W32" s="677"/>
      <c r="AK32" s="677"/>
      <c r="AM32" s="757"/>
    </row>
    <row r="33" spans="1:39" ht="14.5" customHeight="1">
      <c r="A33" s="755"/>
      <c r="B33" s="757"/>
      <c r="C33" s="812"/>
      <c r="D33" s="631" t="s">
        <v>1702</v>
      </c>
      <c r="E33" s="660">
        <f>IFERROR('Laufende Kosten'!H11*E12,0)</f>
        <v>19036.477656000006</v>
      </c>
      <c r="F33" s="644">
        <f>IFERROR(Investitionsrechnung!D14*E12,0)</f>
        <v>21309.541787500002</v>
      </c>
      <c r="G33" s="757"/>
      <c r="H33" s="764"/>
      <c r="I33" s="807"/>
      <c r="J33" s="819"/>
      <c r="K33" s="6">
        <v>1</v>
      </c>
      <c r="L33" s="6" t="s">
        <v>340</v>
      </c>
      <c r="M33" s="681">
        <f>M38</f>
        <v>172881.79399999999</v>
      </c>
      <c r="N33" s="674">
        <f>M33*($M$28/1000)</f>
        <v>33711.949829999998</v>
      </c>
      <c r="O33" s="684"/>
      <c r="P33" s="767"/>
      <c r="Q33" s="677"/>
      <c r="R33" s="769"/>
      <c r="S33" s="677"/>
      <c r="T33" s="677"/>
      <c r="U33" s="677"/>
      <c r="V33" s="677"/>
      <c r="W33" s="677"/>
      <c r="AK33" s="677"/>
      <c r="AM33" s="757"/>
    </row>
    <row r="34" spans="1:39" ht="14.5" customHeight="1">
      <c r="A34" s="755"/>
      <c r="B34" s="757"/>
      <c r="C34" s="812"/>
      <c r="D34" s="650"/>
      <c r="E34" s="646"/>
      <c r="F34" s="645"/>
      <c r="G34" s="688"/>
      <c r="H34" s="764"/>
      <c r="I34" s="807"/>
      <c r="J34" s="819"/>
      <c r="K34" s="6">
        <v>2</v>
      </c>
      <c r="L34" s="6" t="s">
        <v>342</v>
      </c>
      <c r="M34" s="681">
        <f>(M40+M41)</f>
        <v>0</v>
      </c>
      <c r="N34" s="675">
        <f>M34*($M$28/1000)</f>
        <v>0</v>
      </c>
      <c r="O34" s="676"/>
      <c r="P34" s="767"/>
      <c r="Q34" s="677"/>
      <c r="R34" s="677"/>
      <c r="S34" s="677"/>
      <c r="T34" s="677"/>
      <c r="U34" s="677"/>
      <c r="V34" s="677"/>
      <c r="W34" s="677"/>
      <c r="AK34" s="677"/>
      <c r="AM34" s="757"/>
    </row>
    <row r="35" spans="1:39" ht="14.5" customHeight="1">
      <c r="A35" s="755"/>
      <c r="B35" s="757"/>
      <c r="C35" s="812"/>
      <c r="D35" s="669" t="s">
        <v>341</v>
      </c>
      <c r="E35" s="660">
        <f>IFERROR(E12*'Laufende Kosten'!H47,0)</f>
        <v>0</v>
      </c>
      <c r="F35" s="667">
        <f>IFERROR(Investitionsrechnung!D15*E12,0)</f>
        <v>0</v>
      </c>
      <c r="G35" s="761"/>
      <c r="H35" s="764"/>
      <c r="I35" s="807"/>
      <c r="J35" s="819"/>
      <c r="K35" s="6">
        <v>3</v>
      </c>
      <c r="L35" s="6" t="s">
        <v>343</v>
      </c>
      <c r="M35" s="681">
        <f>(M42+M43)</f>
        <v>31064.263148520007</v>
      </c>
      <c r="N35" s="675">
        <f>M35*($M$28/1000)</f>
        <v>6057.5313139614018</v>
      </c>
      <c r="O35" s="676"/>
      <c r="P35" s="767"/>
      <c r="Q35" s="677"/>
      <c r="R35" s="677"/>
      <c r="S35" s="677"/>
      <c r="T35" s="677"/>
      <c r="U35" s="677"/>
      <c r="V35" s="677"/>
      <c r="W35" s="677"/>
      <c r="AK35" s="677"/>
      <c r="AM35" s="757"/>
    </row>
    <row r="36" spans="1:39" ht="14.5" customHeight="1">
      <c r="A36" s="755"/>
      <c r="B36" s="757"/>
      <c r="C36" s="812"/>
      <c r="D36" s="629"/>
      <c r="E36" s="646"/>
      <c r="F36" s="668"/>
      <c r="G36" s="688"/>
      <c r="H36" s="764"/>
      <c r="I36" s="807"/>
      <c r="J36" s="819"/>
      <c r="K36" s="6"/>
      <c r="L36" s="6"/>
      <c r="M36" s="670"/>
      <c r="N36" s="6"/>
      <c r="O36" s="6"/>
      <c r="P36" s="767"/>
      <c r="Q36" s="677"/>
      <c r="R36" s="677"/>
      <c r="S36" s="677"/>
      <c r="T36" s="677"/>
      <c r="U36" s="677"/>
      <c r="V36" s="677"/>
      <c r="W36" s="677"/>
      <c r="AK36" s="677"/>
      <c r="AM36" s="757"/>
    </row>
    <row r="37" spans="1:39" ht="14.5" customHeight="1">
      <c r="A37" s="755"/>
      <c r="B37" s="757"/>
      <c r="C37" s="812"/>
      <c r="D37" s="669" t="s">
        <v>335</v>
      </c>
      <c r="E37" s="660">
        <f>IFERROR(E12*'Laufende Kosten'!H62,0)</f>
        <v>51209.999999999993</v>
      </c>
      <c r="F37" s="644">
        <f>IFERROR(Investitionsrechnung!D16*E12,0)</f>
        <v>57324.766412021912</v>
      </c>
      <c r="G37" s="757"/>
      <c r="H37" s="764"/>
      <c r="I37" s="807"/>
      <c r="J37" s="819"/>
      <c r="K37" s="6"/>
      <c r="L37" s="643" t="s">
        <v>1703</v>
      </c>
      <c r="M37" s="753" t="s">
        <v>334</v>
      </c>
      <c r="N37" s="6"/>
      <c r="O37" s="6"/>
      <c r="P37" s="767"/>
      <c r="Q37" s="677"/>
      <c r="R37" s="677"/>
      <c r="S37" s="677"/>
      <c r="T37" s="677"/>
      <c r="U37" s="677"/>
      <c r="V37" s="677"/>
      <c r="W37" s="677"/>
      <c r="AK37" s="677"/>
      <c r="AM37" s="757"/>
    </row>
    <row r="38" spans="1:39" ht="14.5" customHeight="1">
      <c r="A38" s="755"/>
      <c r="B38" s="757"/>
      <c r="C38" s="812"/>
      <c r="D38" s="757"/>
      <c r="E38" s="757"/>
      <c r="F38" s="757"/>
      <c r="G38" s="757"/>
      <c r="H38" s="764"/>
      <c r="I38" s="807"/>
      <c r="J38" s="819"/>
      <c r="K38" s="662" t="s">
        <v>344</v>
      </c>
      <c r="L38" s="6" t="s">
        <v>1773</v>
      </c>
      <c r="M38" s="681">
        <f>Produktion!C8*E12</f>
        <v>172881.79399999999</v>
      </c>
      <c r="N38" s="6"/>
      <c r="O38" s="6"/>
      <c r="P38" s="767"/>
      <c r="Q38" s="677"/>
      <c r="R38" s="677"/>
      <c r="S38" s="9"/>
      <c r="T38" s="677"/>
      <c r="U38" s="677"/>
      <c r="V38" s="677"/>
      <c r="W38" s="677"/>
      <c r="AK38" s="677"/>
      <c r="AM38" s="757"/>
    </row>
    <row r="39" spans="1:39" ht="14.5" customHeight="1">
      <c r="A39" s="755"/>
      <c r="B39" s="757"/>
      <c r="C39" s="812"/>
      <c r="D39" s="757"/>
      <c r="E39" s="757"/>
      <c r="F39" s="757"/>
      <c r="G39" s="757"/>
      <c r="H39" s="764"/>
      <c r="I39" s="807"/>
      <c r="J39" s="819"/>
      <c r="K39" s="665" t="s">
        <v>345</v>
      </c>
      <c r="L39" s="38" t="s">
        <v>1774</v>
      </c>
      <c r="M39" s="682">
        <f>Produktion!D8*E12</f>
        <v>0</v>
      </c>
      <c r="N39" s="6"/>
      <c r="O39" s="6"/>
      <c r="P39" s="767"/>
      <c r="Q39" s="677"/>
      <c r="R39" s="677"/>
      <c r="S39" s="10"/>
      <c r="T39" s="677"/>
      <c r="U39" s="677"/>
      <c r="V39" s="677"/>
      <c r="W39" s="677"/>
      <c r="AK39" s="677"/>
      <c r="AM39" s="757"/>
    </row>
    <row r="40" spans="1:39" ht="14.5" customHeight="1">
      <c r="A40" s="755"/>
      <c r="B40" s="757"/>
      <c r="C40" s="812"/>
      <c r="D40" s="757"/>
      <c r="E40" s="757"/>
      <c r="F40" s="757"/>
      <c r="G40" s="757"/>
      <c r="H40" s="764"/>
      <c r="I40" s="807"/>
      <c r="J40" s="819"/>
      <c r="K40" s="662" t="s">
        <v>347</v>
      </c>
      <c r="L40" s="6" t="s">
        <v>1779</v>
      </c>
      <c r="M40" s="681">
        <f>SUM('Transport + Installation'!P14:P20)*E12</f>
        <v>0</v>
      </c>
      <c r="N40" s="6"/>
      <c r="O40" s="6"/>
      <c r="P40" s="767"/>
      <c r="Q40" s="677"/>
      <c r="R40" s="677"/>
      <c r="S40" s="677"/>
      <c r="T40" s="677"/>
      <c r="U40" s="677"/>
      <c r="V40" s="677"/>
      <c r="W40" s="677"/>
      <c r="AK40" s="677"/>
      <c r="AM40" s="757"/>
    </row>
    <row r="41" spans="1:39" ht="14.5" customHeight="1">
      <c r="A41" s="755"/>
      <c r="B41" s="757"/>
      <c r="C41" s="812"/>
      <c r="D41" s="757"/>
      <c r="E41" s="757"/>
      <c r="F41" s="757"/>
      <c r="G41" s="757"/>
      <c r="H41" s="764"/>
      <c r="I41" s="807"/>
      <c r="J41" s="819"/>
      <c r="K41" s="665" t="s">
        <v>348</v>
      </c>
      <c r="L41" s="38" t="s">
        <v>1778</v>
      </c>
      <c r="M41" s="682">
        <f>SUM('Transport + Installation'!P24:P30)*E12</f>
        <v>0</v>
      </c>
      <c r="N41" s="6"/>
      <c r="O41" s="6"/>
      <c r="P41" s="767"/>
      <c r="Q41" s="677"/>
      <c r="R41" s="677"/>
      <c r="S41" s="677"/>
      <c r="T41" s="677"/>
      <c r="U41" s="677"/>
      <c r="V41" s="677"/>
      <c r="W41" s="677"/>
      <c r="AK41" s="677"/>
      <c r="AM41" s="757"/>
    </row>
    <row r="42" spans="1:39" ht="14.5" customHeight="1">
      <c r="A42" s="755"/>
      <c r="B42" s="757"/>
      <c r="C42" s="812"/>
      <c r="D42" s="757"/>
      <c r="E42" s="757"/>
      <c r="F42" s="757"/>
      <c r="G42" s="757"/>
      <c r="H42" s="764"/>
      <c r="I42" s="807"/>
      <c r="J42" s="819"/>
      <c r="K42" s="662" t="s">
        <v>349</v>
      </c>
      <c r="L42" s="6" t="s">
        <v>350</v>
      </c>
      <c r="M42" s="681">
        <f>SUM(Nutzung!I25:I32)*E12</f>
        <v>0</v>
      </c>
      <c r="N42" s="6"/>
      <c r="O42" s="6"/>
      <c r="P42" s="767"/>
      <c r="Q42" s="677"/>
      <c r="R42" s="677"/>
      <c r="S42" s="677"/>
      <c r="T42" s="677"/>
      <c r="U42" s="677"/>
      <c r="V42" s="677"/>
      <c r="W42" s="677"/>
      <c r="AK42" s="677"/>
      <c r="AM42" s="757"/>
    </row>
    <row r="43" spans="1:39" ht="14.5" customHeight="1">
      <c r="A43" s="755"/>
      <c r="B43" s="757"/>
      <c r="C43" s="812"/>
      <c r="D43" s="757"/>
      <c r="E43" s="757"/>
      <c r="F43" s="757"/>
      <c r="G43" s="757"/>
      <c r="H43" s="764"/>
      <c r="I43" s="807"/>
      <c r="J43" s="819"/>
      <c r="K43" s="662" t="s">
        <v>351</v>
      </c>
      <c r="L43" s="6" t="s">
        <v>1780</v>
      </c>
      <c r="M43" s="681">
        <f>SUM(Nutzung!I18:I20)*E12</f>
        <v>31064.263148520007</v>
      </c>
      <c r="N43" s="6"/>
      <c r="O43" s="6"/>
      <c r="P43" s="767"/>
      <c r="Q43" s="677"/>
      <c r="R43" s="677"/>
      <c r="S43" s="677"/>
      <c r="T43" s="677"/>
      <c r="U43" s="677"/>
      <c r="V43" s="677"/>
      <c r="W43" s="677"/>
      <c r="AK43" s="677"/>
      <c r="AM43" s="757"/>
    </row>
    <row r="44" spans="1:39" ht="15" thickBot="1">
      <c r="A44" s="755"/>
      <c r="B44" s="757"/>
      <c r="C44" s="812"/>
      <c r="D44" s="757"/>
      <c r="E44" s="757"/>
      <c r="F44" s="757"/>
      <c r="G44" s="757"/>
      <c r="H44" s="764"/>
      <c r="I44" s="807"/>
      <c r="J44" s="819"/>
      <c r="K44" s="662"/>
      <c r="L44" s="6"/>
      <c r="M44" s="663"/>
      <c r="N44" s="6"/>
      <c r="O44" s="6"/>
      <c r="P44" s="767"/>
      <c r="Q44" s="677"/>
      <c r="R44" s="677"/>
      <c r="S44" s="677"/>
      <c r="T44" s="677"/>
      <c r="U44" s="677"/>
      <c r="V44" s="677"/>
      <c r="W44" s="677"/>
      <c r="AK44" s="677"/>
      <c r="AM44" s="757"/>
    </row>
    <row r="45" spans="1:39" ht="14.5" customHeight="1" thickTop="1" thickBot="1">
      <c r="A45" s="755"/>
      <c r="B45" s="757"/>
      <c r="C45" s="813"/>
      <c r="D45" s="810"/>
      <c r="E45" s="810"/>
      <c r="F45" s="810"/>
      <c r="G45" s="810"/>
      <c r="H45" s="809"/>
      <c r="I45" s="807"/>
      <c r="J45" s="820"/>
      <c r="K45" s="770"/>
      <c r="L45" s="770"/>
      <c r="M45" s="770"/>
      <c r="N45" s="770"/>
      <c r="O45" s="770"/>
      <c r="P45" s="770"/>
      <c r="Q45" s="760"/>
      <c r="R45" s="760"/>
      <c r="S45" s="783"/>
      <c r="T45" s="760"/>
      <c r="U45" s="760"/>
      <c r="V45" s="760"/>
      <c r="W45" s="760"/>
      <c r="AK45" s="760"/>
      <c r="AM45" s="757"/>
    </row>
    <row r="46" spans="1:39" ht="15" thickTop="1">
      <c r="A46" s="755"/>
      <c r="B46" s="757"/>
      <c r="I46" s="807"/>
      <c r="V46" s="757"/>
      <c r="W46" s="757"/>
      <c r="X46" s="757"/>
      <c r="Y46" s="757"/>
      <c r="Z46" s="757"/>
      <c r="AA46" s="757"/>
      <c r="AB46" s="757"/>
      <c r="AC46" s="757"/>
      <c r="AD46" s="757"/>
      <c r="AE46" s="771"/>
      <c r="AF46" s="757"/>
      <c r="AG46" s="757"/>
      <c r="AH46" s="757"/>
      <c r="AI46" s="757"/>
      <c r="AJ46" s="757"/>
      <c r="AM46" s="757"/>
    </row>
    <row r="47" spans="1:39" ht="14.5" customHeight="1">
      <c r="A47" s="755"/>
      <c r="B47" s="755"/>
      <c r="C47" s="755"/>
      <c r="D47" s="755"/>
      <c r="E47" s="755"/>
      <c r="F47" s="755"/>
      <c r="G47" s="755"/>
      <c r="H47" s="755"/>
      <c r="I47" s="807"/>
      <c r="J47" s="757"/>
      <c r="K47" s="757"/>
      <c r="L47" s="757"/>
      <c r="M47" s="757"/>
      <c r="N47" s="757"/>
      <c r="O47" s="757"/>
      <c r="P47" s="757"/>
      <c r="Q47" s="757"/>
      <c r="R47" s="757"/>
      <c r="S47" s="757"/>
      <c r="T47" s="757"/>
      <c r="U47" s="757"/>
      <c r="V47" s="757"/>
      <c r="W47" s="757"/>
      <c r="X47" s="757"/>
      <c r="Y47" s="757"/>
      <c r="Z47" s="757"/>
      <c r="AA47" s="757"/>
      <c r="AB47" s="757"/>
      <c r="AC47" s="757"/>
      <c r="AD47" s="757"/>
      <c r="AE47" s="757"/>
      <c r="AF47" s="757"/>
      <c r="AG47" s="757"/>
      <c r="AH47" s="757"/>
      <c r="AI47" s="757"/>
      <c r="AJ47" s="757"/>
      <c r="AK47" s="757"/>
      <c r="AL47" s="757"/>
      <c r="AM47" s="757"/>
    </row>
  </sheetData>
  <hyperlinks>
    <hyperlink ref="F3" location="'Aufbau LCC-CO2-Tool'!A1" display="zurück zur Übersicht" xr:uid="{C8513613-82BD-4A67-9C40-EF6053239DFA}"/>
    <hyperlink ref="F4" location="'Anleitung für Beschaffende'!A19" display="zurück zur Anleitung für Beschaffende " xr:uid="{5A5BAE2C-537E-468A-9AD5-02978B384F3D}"/>
    <hyperlink ref="F5" location="'Anleitung für Bietende'!A17" display="zurück zur Anleitung für Bietende" xr:uid="{BD4DA79F-0121-45CE-9A9A-EF667230D155}"/>
  </hyperlinks>
  <pageMargins left="0.70866141732283472" right="0.70866141732283472" top="0.74803149606299213" bottom="0.74803149606299213" header="0.31496062992125984" footer="0.31496062992125984"/>
  <pageSetup paperSize="9" scale="52" orientation="landscape" horizontalDpi="1200" verticalDpi="1200" r:id="rId1"/>
  <headerFooter>
    <oddHeader>&amp;C&amp;14&amp;KFF0000TESTVERSION!</oddHeader>
    <oddFooter>&amp;L&amp;8LCC-CO2-Tool - Arbeitshilfe des Umweltbundesamtes&amp;C&amp;8 Ergebnis LCC-Kosten mit separater Ausweisung CO2-Kosten&amp;R&amp;8&amp;P</oddFooter>
  </headerFooter>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4">
    <tabColor rgb="FFD9BBD8"/>
    <pageSetUpPr fitToPage="1"/>
  </sheetPr>
  <dimension ref="A1:S47"/>
  <sheetViews>
    <sheetView showGridLines="0" tabSelected="1" topLeftCell="C4" zoomScale="80" zoomScaleNormal="80" workbookViewId="0">
      <selection activeCell="L6" sqref="L6"/>
    </sheetView>
  </sheetViews>
  <sheetFormatPr baseColWidth="10" defaultColWidth="8" defaultRowHeight="14.5"/>
  <cols>
    <col min="1" max="1" width="2.08203125" style="53" customWidth="1"/>
    <col min="2" max="2" width="3.58203125" style="53" customWidth="1"/>
    <col min="3" max="3" width="2.08203125" style="53" customWidth="1"/>
    <col min="4" max="4" width="45.58203125" style="53" customWidth="1"/>
    <col min="5" max="6" width="20.58203125" style="53" customWidth="1"/>
    <col min="7" max="7" width="3.58203125" style="53" customWidth="1"/>
    <col min="8" max="8" width="2.08203125" style="53" customWidth="1"/>
    <col min="9" max="9" width="2.58203125" style="53" customWidth="1"/>
    <col min="10" max="10" width="2.08203125" style="53" customWidth="1"/>
    <col min="11" max="11" width="4.58203125" style="53" customWidth="1"/>
    <col min="12" max="14" width="20.58203125" style="53" customWidth="1"/>
    <col min="15" max="15" width="55" style="53" customWidth="1"/>
    <col min="16" max="16" width="2.08203125" style="53" customWidth="1"/>
    <col min="17" max="17" width="2.58203125" style="53" customWidth="1"/>
    <col min="18" max="18" width="2.08203125" style="53" customWidth="1"/>
    <col min="19" max="16384" width="8" style="53"/>
  </cols>
  <sheetData>
    <row r="1" spans="1:19" ht="14.5" customHeight="1" thickBot="1">
      <c r="A1" s="827"/>
      <c r="B1" s="827"/>
      <c r="C1" s="827"/>
      <c r="D1" s="827"/>
      <c r="E1" s="827"/>
      <c r="F1" s="827"/>
      <c r="G1" s="827"/>
      <c r="H1" s="827"/>
      <c r="I1" s="827"/>
      <c r="J1" s="827"/>
      <c r="K1" s="827"/>
      <c r="L1" s="827"/>
      <c r="M1" s="827"/>
      <c r="N1" s="827"/>
      <c r="O1" s="827"/>
      <c r="P1" s="827"/>
      <c r="Q1" s="827"/>
      <c r="R1" s="543"/>
    </row>
    <row r="2" spans="1:19" ht="33.5" customHeight="1" thickTop="1">
      <c r="A2" s="543"/>
      <c r="B2" s="499"/>
      <c r="D2" s="630" t="s">
        <v>1718</v>
      </c>
      <c r="E2" s="196"/>
      <c r="F2" s="196"/>
      <c r="G2" s="196"/>
      <c r="H2" s="196"/>
      <c r="I2" s="196"/>
      <c r="J2" s="196"/>
      <c r="K2" s="196"/>
      <c r="L2" s="196"/>
      <c r="M2" s="196"/>
      <c r="N2" s="196"/>
      <c r="O2" s="196"/>
      <c r="P2" s="69"/>
      <c r="Q2" s="52"/>
      <c r="R2" s="543"/>
    </row>
    <row r="3" spans="1:19" ht="33.5" customHeight="1">
      <c r="A3" s="543"/>
      <c r="B3" s="499"/>
      <c r="C3" s="499"/>
      <c r="D3" s="672" t="s">
        <v>92</v>
      </c>
      <c r="F3" s="1001" t="s">
        <v>1886</v>
      </c>
      <c r="G3" s="6"/>
      <c r="H3" s="6"/>
      <c r="I3" s="51"/>
      <c r="J3" s="784"/>
      <c r="K3" s="6"/>
      <c r="L3" s="6"/>
      <c r="M3" s="6"/>
      <c r="N3" s="6"/>
      <c r="O3" s="6"/>
      <c r="P3" s="6"/>
      <c r="Q3" s="51"/>
      <c r="R3" s="543"/>
    </row>
    <row r="4" spans="1:19" ht="21.5" thickBot="1">
      <c r="A4" s="543"/>
      <c r="B4" s="499"/>
      <c r="C4" s="358"/>
      <c r="D4" s="746" t="s">
        <v>44</v>
      </c>
      <c r="F4" s="1001" t="s">
        <v>1887</v>
      </c>
      <c r="H4" s="673"/>
      <c r="I4" s="696"/>
      <c r="J4" s="785" t="s">
        <v>1719</v>
      </c>
      <c r="K4" s="799"/>
      <c r="L4" s="799"/>
      <c r="M4" s="800"/>
      <c r="N4" s="800"/>
      <c r="O4" s="800"/>
      <c r="P4" s="745"/>
      <c r="Q4" s="51"/>
      <c r="R4" s="543"/>
      <c r="S4" s="996" t="s">
        <v>1886</v>
      </c>
    </row>
    <row r="5" spans="1:19" ht="14.5" customHeight="1" thickTop="1">
      <c r="A5" s="543"/>
      <c r="B5" s="499"/>
      <c r="C5" s="358"/>
      <c r="F5" s="1001" t="s">
        <v>1888</v>
      </c>
      <c r="H5" s="673"/>
      <c r="I5" s="696"/>
      <c r="J5" s="745"/>
      <c r="K5" s="736"/>
      <c r="L5" s="673"/>
      <c r="M5" s="731" t="s">
        <v>1712</v>
      </c>
      <c r="N5" s="673"/>
      <c r="O5" s="737"/>
      <c r="P5" s="745"/>
      <c r="Q5" s="51"/>
      <c r="R5" s="543"/>
      <c r="S5" s="996" t="s">
        <v>1887</v>
      </c>
    </row>
    <row r="6" spans="1:19" ht="14.5" customHeight="1">
      <c r="A6" s="543"/>
      <c r="B6" s="499"/>
      <c r="C6" s="6"/>
      <c r="D6" s="709" t="str">
        <f>IF(Einmalkosten!D7="","",Einmalkosten!D7)</f>
        <v/>
      </c>
      <c r="E6" s="695" t="s">
        <v>1705</v>
      </c>
      <c r="H6" s="673"/>
      <c r="I6" s="696"/>
      <c r="J6" s="745"/>
      <c r="K6" s="736"/>
      <c r="L6" s="634">
        <f>SUM(E18,L18,E35)</f>
        <v>228190</v>
      </c>
      <c r="M6" s="634">
        <f>SUM(E18,L18,F35)</f>
        <v>228190</v>
      </c>
      <c r="N6" s="728" t="str">
        <f>CONCATENATE("Gesamtangebotspreis für die Vertragslaufzeit (",D8," Jahre)")</f>
        <v>Gesamtangebotspreis für die Vertragslaufzeit ( Jahre)</v>
      </c>
      <c r="O6" s="737"/>
      <c r="P6" s="745"/>
      <c r="Q6" s="51"/>
      <c r="R6" s="543"/>
      <c r="S6" s="996" t="s">
        <v>1888</v>
      </c>
    </row>
    <row r="7" spans="1:19">
      <c r="A7" s="543"/>
      <c r="B7" s="8"/>
      <c r="D7" s="698"/>
      <c r="E7" s="697" t="s">
        <v>1706</v>
      </c>
      <c r="H7" s="632"/>
      <c r="I7" s="633"/>
      <c r="J7" s="745"/>
      <c r="K7" s="736"/>
      <c r="L7" s="729"/>
      <c r="M7" s="980"/>
      <c r="N7" s="728" t="str">
        <f>CONCATENATE("Bei Laufzeitoption: Gesamtangebotspreis nur für zusätzlichen Optionszeitraum (",D9," Jahre)")</f>
        <v>Bei Laufzeitoption: Gesamtangebotspreis nur für zusätzlichen Optionszeitraum ( Jahre)</v>
      </c>
      <c r="O7" s="737"/>
      <c r="P7" s="745"/>
      <c r="Q7" s="51"/>
      <c r="R7" s="543"/>
    </row>
    <row r="8" spans="1:19" ht="20" customHeight="1" thickBot="1">
      <c r="A8" s="543"/>
      <c r="B8" s="8"/>
      <c r="C8" s="6"/>
      <c r="D8" s="716"/>
      <c r="E8" s="695" t="s">
        <v>329</v>
      </c>
      <c r="G8" s="6"/>
      <c r="H8" s="6"/>
      <c r="I8" s="51"/>
      <c r="J8" s="745"/>
      <c r="K8" s="736"/>
      <c r="L8" s="730"/>
      <c r="M8" s="731" t="s">
        <v>1712</v>
      </c>
      <c r="N8" s="732"/>
      <c r="O8" s="737"/>
      <c r="P8" s="745"/>
      <c r="Q8" s="51"/>
      <c r="R8" s="543"/>
    </row>
    <row r="9" spans="1:19" ht="19" thickBot="1">
      <c r="A9" s="543"/>
      <c r="B9" s="8"/>
      <c r="C9" s="6"/>
      <c r="D9" s="715"/>
      <c r="E9" s="714" t="s">
        <v>1710</v>
      </c>
      <c r="G9" s="6"/>
      <c r="H9" s="6"/>
      <c r="I9" s="51"/>
      <c r="J9" s="745"/>
      <c r="K9" s="736"/>
      <c r="L9" s="726">
        <f>SUM(E18,L18,E28,N31)</f>
        <v>338205.95879996137</v>
      </c>
      <c r="M9" s="727">
        <f>SUM(E18,L18,F28,N31)</f>
        <v>346593.78934348328</v>
      </c>
      <c r="N9" s="752" t="str">
        <f>CONCATENATE("LCC-CO2 Gesamtkosten über Lebenszyklus (Betrachtungszeitraum ",E11," Jahre)")</f>
        <v>LCC-CO2 Gesamtkosten über Lebenszyklus (Betrachtungszeitraum 10 Jahre)</v>
      </c>
      <c r="O9" s="772"/>
      <c r="P9" s="745"/>
      <c r="Q9" s="51"/>
      <c r="R9" s="543"/>
    </row>
    <row r="10" spans="1:19">
      <c r="A10" s="543"/>
      <c r="B10" s="8"/>
      <c r="G10" s="635"/>
      <c r="H10" s="636"/>
      <c r="I10" s="637"/>
      <c r="J10" s="745"/>
      <c r="K10" s="738"/>
      <c r="L10" s="673"/>
      <c r="M10" s="731" t="s">
        <v>1712</v>
      </c>
      <c r="N10" s="697"/>
      <c r="O10" s="739"/>
      <c r="P10" s="745"/>
      <c r="Q10" s="51"/>
      <c r="R10" s="543"/>
    </row>
    <row r="11" spans="1:19" ht="16.5">
      <c r="A11" s="543"/>
      <c r="B11" s="8"/>
      <c r="C11" s="6"/>
      <c r="D11" s="1008" t="s">
        <v>1908</v>
      </c>
      <c r="E11" s="747">
        <f>Nutzung!C8</f>
        <v>10</v>
      </c>
      <c r="F11" s="747" t="str">
        <f>Nutzung!D8</f>
        <v xml:space="preserve">Jahr(e) </v>
      </c>
      <c r="G11" s="6"/>
      <c r="H11" s="6"/>
      <c r="I11" s="51"/>
      <c r="J11" s="745"/>
      <c r="K11" s="736"/>
      <c r="L11" s="733">
        <f>IFERROR(SUM(E18,L18,E28,N31)/E11,0)</f>
        <v>33820.595879996137</v>
      </c>
      <c r="M11" s="733">
        <f>IFERROR(SUM(E18,L18,F28,N31)/E11,0)</f>
        <v>34659.378934348329</v>
      </c>
      <c r="N11" s="734" t="s">
        <v>1701</v>
      </c>
      <c r="O11" s="737"/>
      <c r="P11" s="745"/>
      <c r="Q11" s="51"/>
      <c r="R11" s="543"/>
    </row>
    <row r="12" spans="1:19" ht="44" thickBot="1">
      <c r="A12" s="543"/>
      <c r="B12" s="8"/>
      <c r="C12" s="6"/>
      <c r="D12" s="748" t="s">
        <v>1714</v>
      </c>
      <c r="E12" s="749">
        <f>Produktion!C5</f>
        <v>100</v>
      </c>
      <c r="F12" s="1023" t="str">
        <f>Produktion!D5</f>
        <v>Arbeitsplatzcomputer, Variante Desktop-PC 3 Jahre</v>
      </c>
      <c r="G12" s="6"/>
      <c r="H12" s="6"/>
      <c r="I12" s="6"/>
      <c r="J12" s="745"/>
      <c r="K12" s="740"/>
      <c r="L12" s="741"/>
      <c r="M12" s="742"/>
      <c r="N12" s="743"/>
      <c r="O12" s="744"/>
      <c r="P12" s="745"/>
      <c r="Q12" s="51"/>
      <c r="R12" s="543"/>
    </row>
    <row r="13" spans="1:19" ht="15" thickTop="1">
      <c r="A13" s="543"/>
      <c r="B13" s="8"/>
      <c r="C13" s="6"/>
      <c r="D13" s="6"/>
      <c r="E13" s="6"/>
      <c r="F13" s="673"/>
      <c r="G13" s="673"/>
      <c r="H13" s="673"/>
      <c r="I13" s="51"/>
      <c r="J13" s="745"/>
      <c r="K13" s="745"/>
      <c r="L13" s="745"/>
      <c r="M13" s="745"/>
      <c r="N13" s="745" t="s">
        <v>328</v>
      </c>
      <c r="O13" s="745"/>
      <c r="P13" s="745"/>
      <c r="Q13" s="51"/>
      <c r="R13" s="543"/>
    </row>
    <row r="14" spans="1:19">
      <c r="A14" s="543"/>
      <c r="B14" s="8"/>
      <c r="C14" s="6"/>
      <c r="D14" s="6"/>
      <c r="E14" s="6"/>
      <c r="F14" s="673"/>
      <c r="G14" s="673"/>
      <c r="H14" s="673"/>
      <c r="I14" s="6"/>
      <c r="J14" s="6"/>
      <c r="K14" s="6"/>
      <c r="L14" s="6"/>
      <c r="M14" s="6"/>
      <c r="N14" s="6"/>
      <c r="O14" s="6"/>
      <c r="P14" s="6"/>
      <c r="Q14" s="51"/>
      <c r="R14" s="543"/>
    </row>
    <row r="15" spans="1:19">
      <c r="A15" s="543"/>
      <c r="B15" s="8"/>
      <c r="C15" s="6"/>
      <c r="D15" s="6"/>
      <c r="E15" s="6"/>
      <c r="F15" s="673"/>
      <c r="G15" s="673"/>
      <c r="H15" s="673"/>
      <c r="I15" s="51"/>
      <c r="J15" s="6"/>
      <c r="K15" s="6"/>
      <c r="L15" s="6"/>
      <c r="M15" s="6"/>
      <c r="N15" s="6"/>
      <c r="O15" s="6"/>
      <c r="P15" s="6"/>
      <c r="Q15" s="51"/>
      <c r="R15" s="543"/>
    </row>
    <row r="16" spans="1:19">
      <c r="A16" s="543"/>
      <c r="B16" s="499"/>
      <c r="C16" s="685" t="s">
        <v>1698</v>
      </c>
      <c r="D16" s="640"/>
      <c r="E16" s="640"/>
      <c r="F16" s="640"/>
      <c r="G16" s="640"/>
      <c r="H16" s="640"/>
      <c r="I16" s="628"/>
      <c r="J16" s="815" t="s">
        <v>1704</v>
      </c>
      <c r="K16" s="640"/>
      <c r="L16" s="640"/>
      <c r="M16" s="640"/>
      <c r="N16" s="640"/>
      <c r="O16" s="640"/>
      <c r="P16" s="640"/>
      <c r="Q16" s="507"/>
      <c r="R16" s="543"/>
    </row>
    <row r="17" spans="1:18" ht="15" thickBot="1">
      <c r="A17" s="543"/>
      <c r="B17" s="499"/>
      <c r="C17" s="500"/>
      <c r="D17" s="641"/>
      <c r="E17" s="641"/>
      <c r="F17" s="641"/>
      <c r="G17" s="641"/>
      <c r="H17" s="640"/>
      <c r="I17" s="628"/>
      <c r="J17" s="816"/>
      <c r="K17" s="641"/>
      <c r="L17" s="641"/>
      <c r="M17" s="641"/>
      <c r="N17" s="641"/>
      <c r="O17" s="641"/>
      <c r="P17" s="640"/>
      <c r="Q17" s="507"/>
      <c r="R17" s="543"/>
    </row>
    <row r="18" spans="1:18" ht="14.5" customHeight="1" thickBot="1">
      <c r="A18" s="543"/>
      <c r="B18" s="499"/>
      <c r="C18" s="145"/>
      <c r="D18" s="717" t="s">
        <v>1697</v>
      </c>
      <c r="E18" s="718">
        <f>IFERROR(E12*Einmalkosten!G32,0)</f>
        <v>228190</v>
      </c>
      <c r="F18" s="642"/>
      <c r="G18" s="642"/>
      <c r="H18" s="693"/>
      <c r="I18" s="694"/>
      <c r="J18" s="817"/>
      <c r="K18" s="352"/>
      <c r="L18" s="719">
        <f>IFERROR(SUM(L20,L22),0)</f>
        <v>0</v>
      </c>
      <c r="M18" s="720" t="s">
        <v>330</v>
      </c>
      <c r="P18" s="640"/>
      <c r="Q18" s="507"/>
      <c r="R18" s="543"/>
    </row>
    <row r="19" spans="1:18">
      <c r="A19" s="543"/>
      <c r="B19" s="499"/>
      <c r="C19" s="146"/>
      <c r="D19" s="8"/>
      <c r="E19" s="646"/>
      <c r="F19" s="646"/>
      <c r="G19" s="646"/>
      <c r="H19" s="640"/>
      <c r="I19" s="628"/>
      <c r="J19" s="816"/>
      <c r="L19" s="641"/>
      <c r="M19" s="691"/>
      <c r="O19" s="641"/>
      <c r="P19" s="640"/>
      <c r="Q19" s="507"/>
      <c r="R19" s="543"/>
    </row>
    <row r="20" spans="1:18">
      <c r="A20" s="543"/>
      <c r="B20" s="499"/>
      <c r="C20" s="146"/>
      <c r="D20" s="974"/>
      <c r="E20" s="975"/>
      <c r="F20" s="645"/>
      <c r="G20" s="645"/>
      <c r="H20" s="647"/>
      <c r="I20" s="637"/>
      <c r="J20" s="816"/>
      <c r="L20" s="648">
        <f>IFERROR(E12*'Transport+Installationskosten'!E11,0)</f>
        <v>0</v>
      </c>
      <c r="M20" s="602" t="s">
        <v>331</v>
      </c>
      <c r="O20" s="641"/>
      <c r="P20" s="640"/>
      <c r="Q20" s="507"/>
      <c r="R20" s="543"/>
    </row>
    <row r="21" spans="1:18">
      <c r="A21" s="543"/>
      <c r="B21" s="499"/>
      <c r="C21" s="146"/>
      <c r="D21" s="976"/>
      <c r="E21" s="977"/>
      <c r="F21" s="646"/>
      <c r="G21" s="646"/>
      <c r="H21" s="640"/>
      <c r="I21" s="628"/>
      <c r="J21" s="816"/>
      <c r="L21" s="650"/>
      <c r="M21" s="691"/>
      <c r="O21" s="641"/>
      <c r="P21" s="640"/>
      <c r="Q21" s="507"/>
      <c r="R21" s="543"/>
    </row>
    <row r="22" spans="1:18">
      <c r="A22" s="543"/>
      <c r="B22" s="499"/>
      <c r="C22" s="146"/>
      <c r="D22" s="974"/>
      <c r="E22" s="975"/>
      <c r="F22" s="645"/>
      <c r="G22" s="645"/>
      <c r="H22" s="647"/>
      <c r="I22" s="637"/>
      <c r="J22" s="816"/>
      <c r="L22" s="648">
        <f>IFERROR(E12*'Transport+Installationskosten'!E17,0)</f>
        <v>0</v>
      </c>
      <c r="M22" s="602" t="s">
        <v>332</v>
      </c>
      <c r="P22" s="640"/>
      <c r="Q22" s="507"/>
      <c r="R22" s="543"/>
    </row>
    <row r="23" spans="1:18">
      <c r="A23" s="543"/>
      <c r="B23" s="499"/>
      <c r="C23" s="146"/>
      <c r="D23" s="976"/>
      <c r="E23" s="977"/>
      <c r="F23" s="646"/>
      <c r="G23" s="646"/>
      <c r="H23" s="640"/>
      <c r="I23" s="628"/>
      <c r="J23" s="816"/>
      <c r="O23" s="641"/>
      <c r="P23" s="640"/>
      <c r="Q23" s="507"/>
      <c r="R23" s="543"/>
    </row>
    <row r="24" spans="1:18">
      <c r="A24" s="543"/>
      <c r="B24" s="499"/>
      <c r="C24" s="500"/>
      <c r="D24" s="640"/>
      <c r="E24" s="640"/>
      <c r="F24" s="640"/>
      <c r="G24" s="640"/>
      <c r="H24" s="651"/>
      <c r="I24" s="652"/>
      <c r="J24" s="815"/>
      <c r="K24" s="640"/>
      <c r="L24" s="640"/>
      <c r="M24" s="640"/>
      <c r="N24" s="640"/>
      <c r="O24" s="640"/>
      <c r="P24" s="640"/>
      <c r="Q24" s="507"/>
      <c r="R24" s="543"/>
    </row>
    <row r="25" spans="1:18">
      <c r="A25" s="543"/>
      <c r="B25" s="499"/>
      <c r="C25" s="507"/>
      <c r="D25" s="628"/>
      <c r="E25" s="628"/>
      <c r="F25" s="628"/>
      <c r="G25" s="628"/>
      <c r="H25" s="652"/>
      <c r="I25" s="652"/>
      <c r="J25" s="102"/>
      <c r="K25" s="628"/>
      <c r="L25" s="628"/>
      <c r="M25" s="628"/>
      <c r="N25" s="628"/>
      <c r="O25" s="628"/>
      <c r="P25" s="628"/>
      <c r="Q25" s="507"/>
      <c r="R25" s="543"/>
    </row>
    <row r="26" spans="1:18">
      <c r="A26" s="543"/>
      <c r="B26" s="499"/>
      <c r="C26" s="811" t="s">
        <v>1696</v>
      </c>
      <c r="D26" s="147"/>
      <c r="E26" s="147"/>
      <c r="F26" s="147"/>
      <c r="G26" s="147"/>
      <c r="H26" s="651"/>
      <c r="I26" s="653"/>
      <c r="J26" s="821" t="s">
        <v>1700</v>
      </c>
      <c r="K26" s="193"/>
      <c r="L26" s="193"/>
      <c r="M26" s="193"/>
      <c r="N26" s="193"/>
      <c r="O26" s="193"/>
      <c r="P26" s="193"/>
      <c r="Q26" s="8"/>
      <c r="R26" s="543"/>
    </row>
    <row r="27" spans="1:18" ht="24.5" thickBot="1">
      <c r="A27" s="543"/>
      <c r="B27" s="499"/>
      <c r="C27" s="825"/>
      <c r="D27" s="628"/>
      <c r="E27" s="628"/>
      <c r="F27" s="692" t="s">
        <v>1713</v>
      </c>
      <c r="G27" s="628"/>
      <c r="H27" s="147"/>
      <c r="I27" s="628"/>
      <c r="J27" s="822"/>
      <c r="K27" s="6"/>
      <c r="L27" s="6"/>
      <c r="M27" s="6"/>
      <c r="N27" s="6"/>
      <c r="O27" s="6"/>
      <c r="P27" s="192"/>
      <c r="Q27" s="6"/>
      <c r="R27" s="543"/>
    </row>
    <row r="28" spans="1:18" ht="40" customHeight="1" thickBot="1">
      <c r="A28" s="543"/>
      <c r="B28" s="499"/>
      <c r="C28" s="825"/>
      <c r="D28" s="721" t="s">
        <v>1926</v>
      </c>
      <c r="E28" s="722">
        <f>IFERROR(SUM(E37,E35,E33),0)</f>
        <v>70246.477656000003</v>
      </c>
      <c r="F28" s="723">
        <f>IFERROR(SUM(F37,F35,F33),0)</f>
        <v>78634.308199521911</v>
      </c>
      <c r="G28" s="654"/>
      <c r="H28" s="147"/>
      <c r="I28" s="628"/>
      <c r="J28" s="822"/>
      <c r="L28" s="717" t="s">
        <v>1716</v>
      </c>
      <c r="M28" s="773">
        <v>195</v>
      </c>
      <c r="N28" s="720" t="s">
        <v>1781</v>
      </c>
      <c r="O28" s="751" t="s">
        <v>1715</v>
      </c>
      <c r="P28" s="192"/>
      <c r="Q28" s="6"/>
      <c r="R28" s="543"/>
    </row>
    <row r="29" spans="1:18">
      <c r="A29" s="543"/>
      <c r="B29" s="499"/>
      <c r="C29" s="825"/>
      <c r="D29" s="8"/>
      <c r="E29" s="658"/>
      <c r="F29" s="658"/>
      <c r="G29" s="657"/>
      <c r="H29" s="147"/>
      <c r="I29" s="628"/>
      <c r="J29" s="822"/>
      <c r="L29" s="631"/>
      <c r="M29" s="9"/>
      <c r="N29" s="688"/>
      <c r="O29" s="655"/>
      <c r="P29" s="192"/>
      <c r="Q29" s="6"/>
      <c r="R29" s="543"/>
    </row>
    <row r="30" spans="1:18" ht="40" customHeight="1" thickBot="1">
      <c r="A30" s="543"/>
      <c r="B30" s="499"/>
      <c r="C30" s="825"/>
      <c r="D30" s="638" t="s">
        <v>1699</v>
      </c>
      <c r="E30" s="660">
        <f>IFERROR(E28/Nutzung!C8,0)</f>
        <v>7024.6477656000006</v>
      </c>
      <c r="F30" s="656">
        <f>IFERROR(F28/Nutzung!C8,0)</f>
        <v>7863.4308199521911</v>
      </c>
      <c r="G30" s="659"/>
      <c r="H30" s="147"/>
      <c r="I30" s="628"/>
      <c r="J30" s="822"/>
      <c r="K30" s="6"/>
      <c r="L30" s="655" t="s">
        <v>333</v>
      </c>
      <c r="M30" s="688" t="s">
        <v>334</v>
      </c>
      <c r="N30" s="725" t="s">
        <v>1711</v>
      </c>
      <c r="O30" s="632"/>
      <c r="P30" s="192"/>
      <c r="Q30" s="6"/>
      <c r="R30" s="543"/>
    </row>
    <row r="31" spans="1:18" ht="19" thickBot="1">
      <c r="A31" s="543"/>
      <c r="B31" s="499"/>
      <c r="C31" s="825"/>
      <c r="D31" s="631"/>
      <c r="E31" s="686"/>
      <c r="F31" s="687"/>
      <c r="G31" s="659"/>
      <c r="H31" s="147"/>
      <c r="I31" s="628"/>
      <c r="J31" s="822"/>
      <c r="K31" s="662" t="s">
        <v>336</v>
      </c>
      <c r="L31" s="677" t="s">
        <v>337</v>
      </c>
      <c r="M31" s="690">
        <f>SUM(M33:M35)</f>
        <v>203946.05714851999</v>
      </c>
      <c r="N31" s="724">
        <f>M31*($M$28/1000)</f>
        <v>39769.481143961399</v>
      </c>
      <c r="O31" s="683"/>
      <c r="P31" s="192"/>
      <c r="Q31" s="6"/>
      <c r="R31" s="543"/>
    </row>
    <row r="32" spans="1:18" ht="24.5">
      <c r="A32" s="543"/>
      <c r="B32" s="499"/>
      <c r="C32" s="825"/>
      <c r="D32" s="750" t="s">
        <v>1925</v>
      </c>
      <c r="E32" s="699"/>
      <c r="F32" s="700" t="s">
        <v>1713</v>
      </c>
      <c r="G32" s="661"/>
      <c r="H32" s="147"/>
      <c r="I32" s="628"/>
      <c r="J32" s="822"/>
      <c r="K32" s="678" t="s">
        <v>338</v>
      </c>
      <c r="L32" s="679" t="s">
        <v>339</v>
      </c>
      <c r="M32" s="689">
        <f>IFERROR(M31/E11,0)</f>
        <v>20394.605714851998</v>
      </c>
      <c r="N32" s="680">
        <f>M32*($M$28/1000)</f>
        <v>3976.9481143961398</v>
      </c>
      <c r="O32" s="683"/>
      <c r="P32" s="192"/>
      <c r="Q32" s="6"/>
      <c r="R32" s="543"/>
    </row>
    <row r="33" spans="1:18">
      <c r="A33" s="543"/>
      <c r="B33" s="499"/>
      <c r="C33" s="825"/>
      <c r="D33" s="631" t="s">
        <v>1702</v>
      </c>
      <c r="E33" s="660">
        <f>IFERROR('Laufende Kosten'!H11*E12,0)</f>
        <v>19036.477656000006</v>
      </c>
      <c r="F33" s="644">
        <f>IFERROR(Investitionsrechnung!D14*E12,0)</f>
        <v>21309.541787500002</v>
      </c>
      <c r="G33" s="664"/>
      <c r="H33" s="147"/>
      <c r="I33" s="628"/>
      <c r="J33" s="822"/>
      <c r="K33" s="6">
        <v>1</v>
      </c>
      <c r="L33" s="6" t="s">
        <v>340</v>
      </c>
      <c r="M33" s="681">
        <f>M38</f>
        <v>172881.79399999999</v>
      </c>
      <c r="N33" s="674">
        <f>M33*($M$28/1000)</f>
        <v>33711.949829999998</v>
      </c>
      <c r="O33" s="684"/>
      <c r="P33" s="192"/>
      <c r="Q33" s="6"/>
      <c r="R33" s="543"/>
    </row>
    <row r="34" spans="1:18">
      <c r="A34" s="543"/>
      <c r="B34" s="499"/>
      <c r="C34" s="825"/>
      <c r="D34" s="650"/>
      <c r="E34" s="646"/>
      <c r="F34" s="645"/>
      <c r="G34" s="666"/>
      <c r="H34" s="147"/>
      <c r="I34" s="628"/>
      <c r="J34" s="822"/>
      <c r="K34" s="6">
        <v>2</v>
      </c>
      <c r="L34" s="6" t="s">
        <v>342</v>
      </c>
      <c r="M34" s="681">
        <f>(M40+M41)</f>
        <v>0</v>
      </c>
      <c r="N34" s="675">
        <f>M34*($M$28/1000)</f>
        <v>0</v>
      </c>
      <c r="O34" s="676"/>
      <c r="P34" s="192"/>
      <c r="Q34" s="6"/>
      <c r="R34" s="543"/>
    </row>
    <row r="35" spans="1:18">
      <c r="A35" s="543"/>
      <c r="B35" s="499"/>
      <c r="C35" s="825"/>
      <c r="D35" s="669" t="s">
        <v>341</v>
      </c>
      <c r="E35" s="660">
        <f>IFERROR(E12*'Laufende Kosten'!H47,0)</f>
        <v>0</v>
      </c>
      <c r="F35" s="667">
        <f>IFERROR(Investitionsrechnung!D15*E12,0)</f>
        <v>0</v>
      </c>
      <c r="G35" s="661"/>
      <c r="H35" s="147"/>
      <c r="I35" s="628"/>
      <c r="J35" s="822"/>
      <c r="K35" s="6">
        <v>3</v>
      </c>
      <c r="L35" s="6" t="s">
        <v>343</v>
      </c>
      <c r="M35" s="681">
        <f>(M42+M43)</f>
        <v>31064.263148520007</v>
      </c>
      <c r="N35" s="675">
        <f>M35*($M$28/1000)</f>
        <v>6057.5313139614018</v>
      </c>
      <c r="O35" s="676"/>
      <c r="P35" s="192"/>
      <c r="Q35" s="6"/>
      <c r="R35" s="543"/>
    </row>
    <row r="36" spans="1:18">
      <c r="A36" s="543"/>
      <c r="B36" s="499"/>
      <c r="C36" s="825"/>
      <c r="D36" s="629"/>
      <c r="E36" s="646"/>
      <c r="F36" s="668"/>
      <c r="G36" s="649"/>
      <c r="H36" s="147"/>
      <c r="I36" s="628"/>
      <c r="J36" s="822"/>
      <c r="K36" s="6"/>
      <c r="L36" s="6"/>
      <c r="M36" s="670"/>
      <c r="N36" s="6"/>
      <c r="O36" s="6"/>
      <c r="P36" s="192"/>
      <c r="Q36" s="6"/>
      <c r="R36" s="543"/>
    </row>
    <row r="37" spans="1:18">
      <c r="A37" s="543"/>
      <c r="B37" s="499"/>
      <c r="C37" s="825"/>
      <c r="D37" s="669" t="s">
        <v>335</v>
      </c>
      <c r="E37" s="660">
        <f>IFERROR(E12*'Laufende Kosten'!H62,0)</f>
        <v>51209.999999999993</v>
      </c>
      <c r="F37" s="644">
        <f>IFERROR(Investitionsrechnung!D16*E12,0)</f>
        <v>57324.766412021912</v>
      </c>
      <c r="G37" s="657"/>
      <c r="H37" s="147"/>
      <c r="I37" s="628"/>
      <c r="J37" s="822"/>
      <c r="K37" s="6"/>
      <c r="L37" s="643" t="s">
        <v>1703</v>
      </c>
      <c r="M37" s="753" t="s">
        <v>334</v>
      </c>
      <c r="N37" s="6"/>
      <c r="O37" s="6"/>
      <c r="P37" s="192"/>
      <c r="Q37" s="6"/>
      <c r="R37" s="543"/>
    </row>
    <row r="38" spans="1:18">
      <c r="A38" s="543"/>
      <c r="B38" s="499"/>
      <c r="C38" s="825"/>
      <c r="H38" s="147"/>
      <c r="I38" s="628"/>
      <c r="J38" s="822"/>
      <c r="K38" s="662" t="s">
        <v>344</v>
      </c>
      <c r="L38" s="6" t="s">
        <v>1773</v>
      </c>
      <c r="M38" s="681">
        <f>Produktion!C8*E12</f>
        <v>172881.79399999999</v>
      </c>
      <c r="N38" s="6"/>
      <c r="O38" s="6"/>
      <c r="P38" s="192"/>
      <c r="Q38" s="6"/>
      <c r="R38" s="543"/>
    </row>
    <row r="39" spans="1:18">
      <c r="A39" s="543"/>
      <c r="B39" s="499"/>
      <c r="C39" s="825"/>
      <c r="G39" s="641"/>
      <c r="H39" s="147"/>
      <c r="I39" s="628"/>
      <c r="J39" s="822"/>
      <c r="K39" s="665" t="s">
        <v>345</v>
      </c>
      <c r="L39" s="38" t="s">
        <v>1774</v>
      </c>
      <c r="M39" s="682">
        <f>Produktion!D8*E12</f>
        <v>0</v>
      </c>
      <c r="N39" s="6"/>
      <c r="O39" s="6"/>
      <c r="P39" s="192"/>
      <c r="Q39" s="6"/>
      <c r="R39" s="543"/>
    </row>
    <row r="40" spans="1:18">
      <c r="A40" s="543"/>
      <c r="B40" s="499"/>
      <c r="C40" s="825"/>
      <c r="D40" s="641"/>
      <c r="E40" s="641"/>
      <c r="F40" s="641"/>
      <c r="G40" s="641"/>
      <c r="H40" s="147"/>
      <c r="I40" s="628"/>
      <c r="J40" s="822"/>
      <c r="K40" s="662" t="s">
        <v>347</v>
      </c>
      <c r="L40" s="6" t="s">
        <v>1779</v>
      </c>
      <c r="M40" s="681">
        <f>SUM('Transport + Installation'!P14:P20)*E12</f>
        <v>0</v>
      </c>
      <c r="N40" s="6"/>
      <c r="O40" s="6"/>
      <c r="P40" s="192"/>
      <c r="Q40" s="6"/>
      <c r="R40" s="543"/>
    </row>
    <row r="41" spans="1:18">
      <c r="A41" s="543"/>
      <c r="B41" s="499"/>
      <c r="C41" s="825"/>
      <c r="D41" s="641"/>
      <c r="E41" s="641"/>
      <c r="F41" s="641"/>
      <c r="G41" s="641"/>
      <c r="H41" s="147"/>
      <c r="I41" s="628"/>
      <c r="J41" s="822"/>
      <c r="K41" s="665" t="s">
        <v>348</v>
      </c>
      <c r="L41" s="38" t="s">
        <v>1778</v>
      </c>
      <c r="M41" s="682">
        <f>SUM('Transport + Installation'!P24:P30)*E12</f>
        <v>0</v>
      </c>
      <c r="N41" s="6"/>
      <c r="O41" s="6"/>
      <c r="P41" s="192"/>
      <c r="Q41" s="6"/>
      <c r="R41" s="543"/>
    </row>
    <row r="42" spans="1:18">
      <c r="A42" s="543"/>
      <c r="B42" s="499"/>
      <c r="C42" s="825"/>
      <c r="D42" s="641"/>
      <c r="E42" s="641"/>
      <c r="F42" s="641"/>
      <c r="G42" s="641"/>
      <c r="H42" s="147"/>
      <c r="I42" s="628"/>
      <c r="J42" s="822"/>
      <c r="K42" s="662" t="s">
        <v>349</v>
      </c>
      <c r="L42" s="6" t="s">
        <v>350</v>
      </c>
      <c r="M42" s="681">
        <f>SUM(Nutzung!I25:I32)*E12</f>
        <v>0</v>
      </c>
      <c r="N42" s="6"/>
      <c r="O42" s="6"/>
      <c r="P42" s="192"/>
      <c r="Q42" s="6"/>
      <c r="R42" s="543"/>
    </row>
    <row r="43" spans="1:18">
      <c r="A43" s="543"/>
      <c r="B43" s="499"/>
      <c r="C43" s="825"/>
      <c r="D43" s="641"/>
      <c r="E43" s="641"/>
      <c r="F43" s="641"/>
      <c r="G43" s="641"/>
      <c r="H43" s="147"/>
      <c r="I43" s="628"/>
      <c r="J43" s="822"/>
      <c r="K43" s="662" t="s">
        <v>351</v>
      </c>
      <c r="L43" s="6" t="s">
        <v>1780</v>
      </c>
      <c r="M43" s="681">
        <f>SUM(Nutzung!I18:I20)*E12</f>
        <v>31064.263148520007</v>
      </c>
      <c r="N43" s="6"/>
      <c r="O43" s="6"/>
      <c r="P43" s="192"/>
      <c r="Q43" s="6"/>
      <c r="R43" s="543"/>
    </row>
    <row r="44" spans="1:18">
      <c r="A44" s="543"/>
      <c r="B44" s="499"/>
      <c r="C44" s="826"/>
      <c r="D44" s="6"/>
      <c r="E44" s="6"/>
      <c r="F44" s="6"/>
      <c r="G44" s="6"/>
      <c r="H44" s="640"/>
      <c r="I44" s="628"/>
      <c r="J44" s="823"/>
      <c r="K44" s="662"/>
      <c r="L44" s="6"/>
      <c r="M44" s="663"/>
      <c r="N44" s="6"/>
      <c r="O44" s="6"/>
      <c r="P44" s="671"/>
      <c r="Q44" s="499"/>
      <c r="R44" s="543"/>
    </row>
    <row r="45" spans="1:18">
      <c r="A45" s="543"/>
      <c r="B45" s="499"/>
      <c r="C45" s="826"/>
      <c r="D45" s="147"/>
      <c r="E45" s="147"/>
      <c r="F45" s="147"/>
      <c r="G45" s="147"/>
      <c r="H45" s="500"/>
      <c r="I45" s="507"/>
      <c r="J45" s="824"/>
      <c r="K45" s="193"/>
      <c r="L45" s="193"/>
      <c r="M45" s="193"/>
      <c r="N45" s="193"/>
      <c r="O45" s="193"/>
      <c r="P45" s="544"/>
      <c r="Q45" s="499"/>
      <c r="R45" s="543"/>
    </row>
    <row r="46" spans="1:18">
      <c r="A46" s="543"/>
      <c r="B46" s="499"/>
      <c r="C46" s="499"/>
      <c r="D46" s="499"/>
      <c r="E46" s="499"/>
      <c r="F46" s="499"/>
      <c r="G46" s="499"/>
      <c r="H46" s="499"/>
      <c r="I46" s="499"/>
      <c r="J46" s="499"/>
      <c r="K46" s="499"/>
      <c r="L46" s="499"/>
      <c r="M46" s="499"/>
      <c r="N46" s="499"/>
      <c r="O46" s="499"/>
      <c r="P46" s="499"/>
      <c r="Q46" s="499"/>
      <c r="R46" s="543"/>
    </row>
    <row r="47" spans="1:18" ht="14.5" customHeight="1">
      <c r="A47" s="543"/>
      <c r="B47" s="543"/>
      <c r="C47" s="543"/>
      <c r="D47" s="543"/>
      <c r="E47" s="543"/>
      <c r="F47" s="543"/>
      <c r="G47" s="543"/>
      <c r="H47" s="543"/>
      <c r="I47" s="543"/>
      <c r="J47" s="543"/>
      <c r="K47" s="543"/>
      <c r="L47" s="543"/>
      <c r="M47" s="543"/>
      <c r="N47" s="543"/>
      <c r="O47" s="543"/>
      <c r="P47" s="543"/>
      <c r="Q47" s="543"/>
      <c r="R47" s="543"/>
    </row>
  </sheetData>
  <hyperlinks>
    <hyperlink ref="S4" location="'Aufbau LCC-CO2-Tool'!A1" display="zurück zur Übersicht" xr:uid="{2EBAC426-9230-441C-828F-751F27EB21D6}"/>
    <hyperlink ref="S5" location="'Anleitung für Beschaffende'!A18" display="zurück zur Anleitung für Beschaffende " xr:uid="{8AAA03EB-429F-4CA1-998E-D3A10CA56709}"/>
    <hyperlink ref="S6" location="'Anleitung für Bietende'!A4" display="zurück zur Anleitung für Bietende" xr:uid="{D2830D8F-44D1-4CD5-8B5F-C662139D5AA5}"/>
    <hyperlink ref="F3" location="'Aufbau LCC-CO2-Tool'!A1" display="zurück zur Übersicht" xr:uid="{81C473DF-DE53-43A8-871B-55ED17CD6DE7}"/>
    <hyperlink ref="F4" location="'Anleitung für Beschaffende'!A19" display="zurück zur Anleitung für Beschaffende " xr:uid="{B640C071-9EA4-4C05-8BC5-0DDAF5386E12}"/>
    <hyperlink ref="F5" location="'Anleitung für Bietende'!A17" display="zurück zur Anleitung für Bietende" xr:uid="{1B3466D2-B7A0-443C-9476-9EC583761708}"/>
  </hyperlinks>
  <pageMargins left="0.70866141732283472" right="0.70866141732283472" top="0.74803149606299213" bottom="0.74803149606299213" header="0.31496062992125984" footer="0.31496062992125984"/>
  <pageSetup paperSize="9" scale="52" orientation="landscape" horizontalDpi="1200" verticalDpi="1200" r:id="rId1"/>
  <headerFooter>
    <oddHeader>&amp;C&amp;14&amp;KFF0000TESTVERSION!</oddHeader>
    <oddFooter>&amp;L&amp;8LCC-CO2-Tool - Arbeitshilfe des Umweltbundesamtes&amp;C&amp;8Ergebnis LCC-CO2-Kosten&amp;R&amp;8&amp;P</oddFooter>
  </headerFooter>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1">
    <tabColor rgb="FFF1A0BD"/>
  </sheetPr>
  <dimension ref="B1:O32"/>
  <sheetViews>
    <sheetView showGridLines="0" topLeftCell="D8" zoomScale="85" zoomScaleNormal="85" workbookViewId="0">
      <selection activeCell="H16" sqref="H16"/>
    </sheetView>
  </sheetViews>
  <sheetFormatPr baseColWidth="10" defaultColWidth="8" defaultRowHeight="14.5"/>
  <cols>
    <col min="1" max="1" width="3.4140625" style="7" customWidth="1"/>
    <col min="2" max="2" width="27.08203125" style="7" customWidth="1"/>
    <col min="3" max="3" width="19.58203125" style="7" customWidth="1"/>
    <col min="4" max="4" width="20.5" style="7" customWidth="1"/>
    <col min="5" max="5" width="11.9140625" style="7" bestFit="1" customWidth="1"/>
    <col min="6" max="6" width="5.83203125" style="7" customWidth="1"/>
    <col min="7" max="7" width="28.58203125" style="7" customWidth="1"/>
    <col min="8" max="8" width="19.5" style="7" customWidth="1"/>
    <col min="9" max="9" width="10.6640625" style="7" customWidth="1"/>
    <col min="10" max="10" width="12.08203125" style="7" customWidth="1"/>
    <col min="11" max="11" width="11.58203125" style="7" customWidth="1"/>
    <col min="12" max="12" width="17.6640625" style="7" customWidth="1"/>
    <col min="13" max="13" width="15.5" style="7" customWidth="1"/>
    <col min="14" max="14" width="11.58203125" style="7" customWidth="1"/>
    <col min="15" max="15" width="20.58203125" style="7" customWidth="1"/>
    <col min="16" max="16" width="16.08203125" style="7" customWidth="1"/>
    <col min="17" max="17" width="8.58203125" style="7" customWidth="1"/>
    <col min="18" max="18" width="8" style="7" customWidth="1"/>
    <col min="19" max="19" width="11.08203125" style="7" customWidth="1"/>
    <col min="20" max="20" width="14.75" style="7" customWidth="1"/>
    <col min="21" max="21" width="11.58203125" style="7" customWidth="1"/>
    <col min="22" max="22" width="8" style="7" customWidth="1"/>
    <col min="23" max="16384" width="8" style="7"/>
  </cols>
  <sheetData>
    <row r="1" spans="2:15" ht="18" customHeight="1"/>
    <row r="2" spans="2:15" ht="70.5" customHeight="1">
      <c r="B2" s="1017" t="s">
        <v>352</v>
      </c>
      <c r="C2" s="1017"/>
      <c r="D2" s="1017"/>
      <c r="E2" s="1017"/>
      <c r="F2" s="1017"/>
      <c r="G2" s="1017"/>
      <c r="H2" s="1017"/>
    </row>
    <row r="3" spans="2:15" ht="14.9" customHeight="1">
      <c r="B3" s="14"/>
      <c r="C3" s="14"/>
      <c r="D3" s="14"/>
    </row>
    <row r="4" spans="2:15" ht="14.9" customHeight="1">
      <c r="B4" s="15"/>
      <c r="C4" s="863" t="s">
        <v>353</v>
      </c>
      <c r="D4" s="21" t="s">
        <v>1782</v>
      </c>
    </row>
    <row r="5" spans="2:15" ht="37">
      <c r="B5" s="864" t="s">
        <v>1784</v>
      </c>
      <c r="C5" s="942">
        <f>IFERROR(IF(C11=0,'THG-Emissionen ohne Zertifikat'!F8,'THG-Emissionen mit Zertifikat'!E8),0)</f>
        <v>100</v>
      </c>
      <c r="D5" s="857" t="str">
        <f>IFERROR(IF(C11=0,'THG-Emissionen ohne Zertifikat'!F7,'THG-Emissionen mit Zertifikat'!E7),"")</f>
        <v>Arbeitsplatzcomputer, Variante Desktop-PC 3 Jahre</v>
      </c>
      <c r="G5" s="996" t="s">
        <v>1886</v>
      </c>
    </row>
    <row r="6" spans="2:15" ht="14.9" customHeight="1">
      <c r="B6" s="14"/>
      <c r="C6" s="14"/>
      <c r="D6" s="14"/>
      <c r="G6" s="996" t="s">
        <v>1887</v>
      </c>
    </row>
    <row r="7" spans="2:15" ht="14.9" customHeight="1">
      <c r="B7" s="19"/>
      <c r="C7" s="21" t="s">
        <v>334</v>
      </c>
      <c r="D7" s="21" t="s">
        <v>354</v>
      </c>
      <c r="G7" s="996" t="s">
        <v>1888</v>
      </c>
    </row>
    <row r="8" spans="2:15" ht="37">
      <c r="B8" s="44" t="s">
        <v>1783</v>
      </c>
      <c r="C8" s="940">
        <f>IFERROR(IF(C11=1,E16,L31),0)</f>
        <v>1728.8179399999999</v>
      </c>
      <c r="D8" s="942">
        <f>IFERROR(IF(C11=1,E17,SUM(N16:N32)),0)</f>
        <v>0</v>
      </c>
      <c r="E8" s="735"/>
    </row>
    <row r="9" spans="2:15" ht="14.9" customHeight="1">
      <c r="B9" s="22"/>
    </row>
    <row r="10" spans="2:15" ht="14.9" customHeight="1">
      <c r="B10" s="15"/>
      <c r="C10" s="17" t="s">
        <v>355</v>
      </c>
    </row>
    <row r="11" spans="2:15" ht="14.9" customHeight="1">
      <c r="B11" s="18" t="s">
        <v>356</v>
      </c>
      <c r="C11" s="168">
        <f>IFERROR(IF('THG-Emissionen mit Zertifikat'!E15="",0,1),0)</f>
        <v>0</v>
      </c>
    </row>
    <row r="12" spans="2:15">
      <c r="B12" s="14"/>
      <c r="C12" s="14"/>
      <c r="D12" s="14"/>
    </row>
    <row r="13" spans="2:15">
      <c r="B13" s="199" t="s">
        <v>357</v>
      </c>
      <c r="C13" s="200"/>
      <c r="D13" s="200"/>
      <c r="E13" s="201"/>
      <c r="G13" s="199" t="s">
        <v>358</v>
      </c>
      <c r="H13" s="200"/>
      <c r="I13" s="200"/>
      <c r="J13" s="200"/>
      <c r="K13" s="200"/>
      <c r="L13" s="200"/>
      <c r="M13" s="200"/>
      <c r="N13" s="201"/>
      <c r="O13" s="735"/>
    </row>
    <row r="14" spans="2:15">
      <c r="B14" s="23"/>
      <c r="E14" s="24"/>
      <c r="G14" s="23"/>
      <c r="N14" s="24"/>
    </row>
    <row r="15" spans="2:15">
      <c r="B15" s="23"/>
      <c r="E15" s="25" t="s">
        <v>353</v>
      </c>
      <c r="G15" s="26" t="s">
        <v>359</v>
      </c>
      <c r="H15" s="198" t="s">
        <v>360</v>
      </c>
      <c r="I15" s="946" t="s">
        <v>361</v>
      </c>
      <c r="J15" s="602" t="s">
        <v>228</v>
      </c>
      <c r="K15" s="77" t="s">
        <v>362</v>
      </c>
      <c r="L15" s="77" t="s">
        <v>363</v>
      </c>
      <c r="M15" s="77" t="s">
        <v>364</v>
      </c>
      <c r="N15" s="120" t="s">
        <v>365</v>
      </c>
    </row>
    <row r="16" spans="2:15" ht="29">
      <c r="B16" s="23"/>
      <c r="C16" s="28" t="s">
        <v>366</v>
      </c>
      <c r="D16" s="27" t="s">
        <v>363</v>
      </c>
      <c r="E16" s="939">
        <f>IFERROR(IF(C11=1,('THG-Emissionen mit Zertifikat'!E15),('THG-Emissionen ohne Zertifikat'!F13*'THG-Emissionen ohne Zertifikat'!F15)),0)</f>
        <v>0</v>
      </c>
      <c r="G16" s="510" t="s">
        <v>307</v>
      </c>
      <c r="H16" s="159" t="str">
        <f>IFERROR('THG-Emissionen ohne Zertifikat'!E21,0)</f>
        <v>IT - Desktop-PC, Tower, 512GB</v>
      </c>
      <c r="I16" s="603">
        <f>IFERROR('THG-Emissionen ohne Zertifikat'!G21,0)</f>
        <v>3.33</v>
      </c>
      <c r="J16" s="603" t="str">
        <f>IFERROR(VLOOKUP(H16,Emissionsfaktoren_Stoffe!$D$4:$L$704,9,FALSE),"")</f>
        <v/>
      </c>
      <c r="K16" s="943">
        <f>IFERROR(VLOOKUP(H16,Emissionsfaktoren_Stoffe!$C$4:$L$704,6,FALSE),0)</f>
        <v>361</v>
      </c>
      <c r="L16" s="945">
        <f>K16*I16</f>
        <v>1202.1300000000001</v>
      </c>
      <c r="M16" s="943">
        <f>IFERROR(VLOOKUP(H16,Emissionsfaktoren_Stoffe!$C$4:$L$704,8,FALSE),0)</f>
        <v>0</v>
      </c>
      <c r="N16" s="944">
        <f>M16*I16</f>
        <v>0</v>
      </c>
    </row>
    <row r="17" spans="2:14">
      <c r="B17" s="23"/>
      <c r="C17" s="27" t="s">
        <v>346</v>
      </c>
      <c r="D17" s="27" t="s">
        <v>365</v>
      </c>
      <c r="E17" s="211">
        <f>IFERROR('THG-Emissionen mit Zertifikat'!E13*3.6,0)</f>
        <v>0</v>
      </c>
      <c r="G17" s="510" t="s">
        <v>308</v>
      </c>
      <c r="H17" s="159" t="str">
        <f>IFERROR('THG-Emissionen ohne Zertifikat'!E23,0)</f>
        <v>IT - Monitor, 22"</v>
      </c>
      <c r="I17" s="603">
        <f>IFERROR('THG-Emissionen ohne Zertifikat'!G23,0)</f>
        <v>1.67</v>
      </c>
      <c r="J17" s="603" t="str">
        <f>IFERROR(VLOOKUP(H17,Emissionsfaktoren_Stoffe!$D$4:$L$704,9,FALSE),"")</f>
        <v/>
      </c>
      <c r="K17" s="943">
        <f>IFERROR(VLOOKUP(H17,Emissionsfaktoren_Stoffe!$C$4:$L$704,6,FALSE),0)</f>
        <v>305.90199999999999</v>
      </c>
      <c r="L17" s="945">
        <f t="shared" ref="L17:L25" si="0">K17*I17</f>
        <v>510.85633999999993</v>
      </c>
      <c r="M17" s="943">
        <f>IFERROR(VLOOKUP(H17,Emissionsfaktoren_Stoffe!$C$4:$L$704,8,FALSE),0)</f>
        <v>0</v>
      </c>
      <c r="N17" s="944">
        <f t="shared" ref="N17:N25" si="1">M17*I17</f>
        <v>0</v>
      </c>
    </row>
    <row r="18" spans="2:14">
      <c r="B18" s="23"/>
      <c r="C18" s="27"/>
      <c r="D18" s="27" t="s">
        <v>367</v>
      </c>
      <c r="E18" s="24"/>
      <c r="G18" s="510" t="s">
        <v>311</v>
      </c>
      <c r="H18" s="159" t="str">
        <f>IFERROR('THG-Emissionen ohne Zertifikat'!E25,0)</f>
        <v>IT - Tastatur, kabelgebunden</v>
      </c>
      <c r="I18" s="603">
        <f>IFERROR('THG-Emissionen ohne Zertifikat'!G25,0)</f>
        <v>1.67</v>
      </c>
      <c r="J18" s="603" t="str">
        <f>IFERROR(VLOOKUP(H18,Emissionsfaktoren_Stoffe!$D$4:$L$704,9,FALSE),"")</f>
        <v/>
      </c>
      <c r="K18" s="943">
        <f>IFERROR(VLOOKUP(H18,Emissionsfaktoren_Stoffe!$C$4:$L$704,6,FALSE),0)</f>
        <v>8.25</v>
      </c>
      <c r="L18" s="945">
        <f t="shared" si="0"/>
        <v>13.7775</v>
      </c>
      <c r="M18" s="943">
        <f>IFERROR(VLOOKUP(H18,Emissionsfaktoren_Stoffe!$C$4:$L$704,8,FALSE),0)</f>
        <v>0</v>
      </c>
      <c r="N18" s="944">
        <f t="shared" si="1"/>
        <v>0</v>
      </c>
    </row>
    <row r="19" spans="2:14">
      <c r="B19" s="23"/>
      <c r="D19" s="6" t="s">
        <v>368</v>
      </c>
      <c r="E19" s="24"/>
      <c r="G19" s="510" t="s">
        <v>313</v>
      </c>
      <c r="H19" s="159" t="str">
        <f>IFERROR('THG-Emissionen ohne Zertifikat'!E27,0)</f>
        <v>IT - Maus, kabelgebunden</v>
      </c>
      <c r="I19" s="603">
        <f>IFERROR('THG-Emissionen ohne Zertifikat'!G27,0)</f>
        <v>1.67</v>
      </c>
      <c r="J19" s="603" t="str">
        <f>IFERROR(VLOOKUP(H19,Emissionsfaktoren_Stoffe!$D$4:$L$704,9,FALSE),"")</f>
        <v/>
      </c>
      <c r="K19" s="943">
        <f>IFERROR(VLOOKUP(H19,Emissionsfaktoren_Stoffe!$C$4:$L$704,6,FALSE),0)</f>
        <v>1.23</v>
      </c>
      <c r="L19" s="945">
        <f t="shared" si="0"/>
        <v>2.0541</v>
      </c>
      <c r="M19" s="943">
        <f>IFERROR(VLOOKUP(H19,Emissionsfaktoren_Stoffe!$C$4:$L$704,8,FALSE),0)</f>
        <v>0</v>
      </c>
      <c r="N19" s="944">
        <f t="shared" si="1"/>
        <v>0</v>
      </c>
    </row>
    <row r="20" spans="2:14">
      <c r="B20" s="23"/>
      <c r="D20" s="6" t="s">
        <v>369</v>
      </c>
      <c r="E20" s="24"/>
      <c r="G20" s="510" t="s">
        <v>315</v>
      </c>
      <c r="H20" s="159" t="str">
        <f>IFERROR('THG-Emissionen ohne Zertifikat'!E29,0)</f>
        <v>[Bitte auswählen]</v>
      </c>
      <c r="I20" s="603">
        <f>IFERROR('THG-Emissionen ohne Zertifikat'!G29,0)</f>
        <v>0</v>
      </c>
      <c r="J20" s="603" t="str">
        <f>IFERROR(VLOOKUP(H20,Emissionsfaktoren_Stoffe!$D$4:$L$704,9,FALSE),"")</f>
        <v/>
      </c>
      <c r="K20" s="943">
        <f>IFERROR(VLOOKUP(H20,Emissionsfaktoren_Stoffe!$C$4:$L$704,6,FALSE),0)</f>
        <v>0</v>
      </c>
      <c r="L20" s="945">
        <f t="shared" si="0"/>
        <v>0</v>
      </c>
      <c r="M20" s="943">
        <f>IFERROR(VLOOKUP(H20,Emissionsfaktoren_Stoffe!$C$4:$L$704,8,FALSE),0)</f>
        <v>0</v>
      </c>
      <c r="N20" s="944">
        <f t="shared" si="1"/>
        <v>0</v>
      </c>
    </row>
    <row r="21" spans="2:14">
      <c r="B21" s="23"/>
      <c r="D21" s="6" t="s">
        <v>370</v>
      </c>
      <c r="E21" s="24"/>
      <c r="G21" s="510" t="s">
        <v>316</v>
      </c>
      <c r="H21" s="159" t="str">
        <f>IFERROR('THG-Emissionen ohne Zertifikat'!E31,0)</f>
        <v>[Bitte auswählen]</v>
      </c>
      <c r="I21" s="603">
        <f>IFERROR('THG-Emissionen ohne Zertifikat'!G31,0)</f>
        <v>0</v>
      </c>
      <c r="J21" s="603" t="str">
        <f>IFERROR(VLOOKUP(H21,Emissionsfaktoren_Stoffe!$D$4:$L$704,9,FALSE),"")</f>
        <v/>
      </c>
      <c r="K21" s="943">
        <f>IFERROR(VLOOKUP(H21,Emissionsfaktoren_Stoffe!$C$4:$L$704,6,FALSE),0)</f>
        <v>0</v>
      </c>
      <c r="L21" s="945">
        <f t="shared" si="0"/>
        <v>0</v>
      </c>
      <c r="M21" s="943">
        <f>IFERROR(VLOOKUP(H21,Emissionsfaktoren_Stoffe!$C$4:$L$704,8,FALSE),0)</f>
        <v>0</v>
      </c>
      <c r="N21" s="944">
        <f t="shared" si="1"/>
        <v>0</v>
      </c>
    </row>
    <row r="22" spans="2:14">
      <c r="B22" s="23"/>
      <c r="D22" s="6" t="s">
        <v>371</v>
      </c>
      <c r="E22" s="24"/>
      <c r="G22" s="510" t="s">
        <v>317</v>
      </c>
      <c r="H22" s="159" t="str">
        <f>IFERROR('THG-Emissionen ohne Zertifikat'!E33,0)</f>
        <v>[Bitte auswählen]</v>
      </c>
      <c r="I22" s="603">
        <f>IFERROR('THG-Emissionen ohne Zertifikat'!G33,0)</f>
        <v>0</v>
      </c>
      <c r="J22" s="603" t="str">
        <f>IFERROR(VLOOKUP(H22,Emissionsfaktoren_Stoffe!$D$4:$L$704,9,FALSE),"")</f>
        <v/>
      </c>
      <c r="K22" s="943">
        <f>IFERROR(VLOOKUP(H22,Emissionsfaktoren_Stoffe!$C$4:$L$704,6,FALSE),0)</f>
        <v>0</v>
      </c>
      <c r="L22" s="945">
        <f t="shared" si="0"/>
        <v>0</v>
      </c>
      <c r="M22" s="943">
        <f>IFERROR(VLOOKUP(H22,Emissionsfaktoren_Stoffe!$C$4:$L$704,8,FALSE),0)</f>
        <v>0</v>
      </c>
      <c r="N22" s="944">
        <f t="shared" si="1"/>
        <v>0</v>
      </c>
    </row>
    <row r="23" spans="2:14">
      <c r="B23" s="23"/>
      <c r="D23" s="27" t="s">
        <v>372</v>
      </c>
      <c r="E23" s="24"/>
      <c r="G23" s="510" t="s">
        <v>318</v>
      </c>
      <c r="H23" s="159" t="str">
        <f>IFERROR('THG-Emissionen ohne Zertifikat'!E35,0)</f>
        <v>[Bitte auswählen]</v>
      </c>
      <c r="I23" s="603">
        <f>IFERROR('THG-Emissionen ohne Zertifikat'!G35,0)</f>
        <v>0</v>
      </c>
      <c r="J23" s="603" t="str">
        <f>IFERROR(VLOOKUP(H23,Emissionsfaktoren_Stoffe!$D$4:$L$704,9,FALSE),"")</f>
        <v/>
      </c>
      <c r="K23" s="943">
        <f>IFERROR(VLOOKUP(H23,Emissionsfaktoren_Stoffe!$C$4:$L$704,6,FALSE),0)</f>
        <v>0</v>
      </c>
      <c r="L23" s="945">
        <f t="shared" si="0"/>
        <v>0</v>
      </c>
      <c r="M23" s="943">
        <f>IFERROR(VLOOKUP(H23,Emissionsfaktoren_Stoffe!$C$4:$L$704,8,FALSE),0)</f>
        <v>0</v>
      </c>
      <c r="N23" s="944">
        <f t="shared" si="1"/>
        <v>0</v>
      </c>
    </row>
    <row r="24" spans="2:14">
      <c r="B24" s="23"/>
      <c r="D24" s="7" t="s">
        <v>373</v>
      </c>
      <c r="E24" s="24"/>
      <c r="G24" s="510" t="s">
        <v>319</v>
      </c>
      <c r="H24" s="159" t="str">
        <f>IFERROR('THG-Emissionen ohne Zertifikat'!E37,0)</f>
        <v>[Bitte auswählen]</v>
      </c>
      <c r="I24" s="603">
        <f>IFERROR('THG-Emissionen ohne Zertifikat'!G37,0)</f>
        <v>0</v>
      </c>
      <c r="J24" s="603" t="str">
        <f>IFERROR(VLOOKUP(H24,Emissionsfaktoren_Stoffe!$D$4:$L$704,9,FALSE),"")</f>
        <v/>
      </c>
      <c r="K24" s="943">
        <f>IFERROR(VLOOKUP(H24,Emissionsfaktoren_Stoffe!$C$4:$L$704,6,FALSE),0)</f>
        <v>0</v>
      </c>
      <c r="L24" s="945">
        <f t="shared" si="0"/>
        <v>0</v>
      </c>
      <c r="M24" s="943">
        <f>IFERROR(VLOOKUP(H24,Emissionsfaktoren_Stoffe!$C$4:$L$704,8,FALSE),0)</f>
        <v>0</v>
      </c>
      <c r="N24" s="944">
        <f t="shared" si="1"/>
        <v>0</v>
      </c>
    </row>
    <row r="25" spans="2:14" ht="15" thickBot="1">
      <c r="B25" s="23"/>
      <c r="D25" s="7" t="s">
        <v>374</v>
      </c>
      <c r="E25" s="24"/>
      <c r="G25" s="510" t="s">
        <v>320</v>
      </c>
      <c r="H25" s="159" t="str">
        <f>IFERROR('THG-Emissionen ohne Zertifikat'!E39,0)</f>
        <v>[Bitte auswählen]</v>
      </c>
      <c r="I25" s="603">
        <f>IFERROR('THG-Emissionen ohne Zertifikat'!G39,0)</f>
        <v>0</v>
      </c>
      <c r="J25" s="603" t="str">
        <f>IFERROR(VLOOKUP(H25,Emissionsfaktoren_Stoffe!$D$4:$L$704,9,FALSE),"")</f>
        <v/>
      </c>
      <c r="K25" s="943">
        <f>IFERROR(VLOOKUP(H25,Emissionsfaktoren_Stoffe!$C$4:$L$704,6,FALSE),0)</f>
        <v>0</v>
      </c>
      <c r="L25" s="945">
        <f t="shared" si="0"/>
        <v>0</v>
      </c>
      <c r="M25" s="943">
        <f>IFERROR(VLOOKUP(H25,Emissionsfaktoren_Stoffe!$C$4:$L$704,8,FALSE),0)</f>
        <v>0</v>
      </c>
      <c r="N25" s="944">
        <f t="shared" si="1"/>
        <v>0</v>
      </c>
    </row>
    <row r="26" spans="2:14" ht="15" thickBot="1">
      <c r="B26" s="23"/>
      <c r="D26" s="7" t="s">
        <v>191</v>
      </c>
      <c r="E26" s="24"/>
      <c r="G26" s="207" t="s">
        <v>375</v>
      </c>
      <c r="H26" s="240" t="s">
        <v>363</v>
      </c>
      <c r="I26" s="240"/>
      <c r="J26" s="43" t="str">
        <f>IFERROR(VLOOKUP(H26,Emissionsfaktoren_Stoffe!$D$4:$L$75,9,FALSE),"")</f>
        <v/>
      </c>
      <c r="K26" s="43"/>
      <c r="L26" s="208">
        <f>SUM(L16:L25)</f>
        <v>1728.8179399999999</v>
      </c>
      <c r="M26" s="29"/>
      <c r="N26" s="30"/>
    </row>
    <row r="27" spans="2:14" ht="15" thickBot="1">
      <c r="B27" s="23"/>
      <c r="D27" s="7" t="s">
        <v>376</v>
      </c>
      <c r="E27" s="24"/>
      <c r="G27" s="23"/>
      <c r="I27" s="29"/>
      <c r="J27" s="29" t="str">
        <f>IFERROR(VLOOKUP(H27,Emissionsfaktoren_Stoffe!$D$4:$L$75,9,FALSE),"")</f>
        <v/>
      </c>
      <c r="K27" s="29"/>
      <c r="L27" s="29"/>
      <c r="M27" s="29"/>
      <c r="N27" s="30"/>
    </row>
    <row r="28" spans="2:14" ht="15" thickBot="1">
      <c r="B28" s="31"/>
      <c r="C28" s="32"/>
      <c r="D28" s="32" t="s">
        <v>377</v>
      </c>
      <c r="E28" s="33"/>
      <c r="G28" s="207" t="s">
        <v>366</v>
      </c>
      <c r="H28" s="240" t="s">
        <v>363</v>
      </c>
      <c r="I28" s="240"/>
      <c r="J28" s="206"/>
      <c r="K28" s="43"/>
      <c r="L28" s="938">
        <f>IFERROR(('THG-Emissionen ohne Zertifikat'!F13*'THG-Emissionen ohne Zertifikat'!F15),0)</f>
        <v>0</v>
      </c>
      <c r="M28" s="29"/>
      <c r="N28" s="30"/>
    </row>
    <row r="29" spans="2:14">
      <c r="G29" s="23"/>
      <c r="M29" s="29"/>
      <c r="N29" s="30"/>
    </row>
    <row r="30" spans="2:14" ht="15" thickBot="1">
      <c r="G30" s="23"/>
      <c r="I30" s="29"/>
      <c r="J30" s="29"/>
      <c r="K30" s="29"/>
      <c r="L30" s="29"/>
      <c r="M30" s="29"/>
      <c r="N30" s="30"/>
    </row>
    <row r="31" spans="2:14" ht="15" thickBot="1">
      <c r="G31" s="207" t="s">
        <v>378</v>
      </c>
      <c r="H31" s="240" t="s">
        <v>363</v>
      </c>
      <c r="I31" s="240"/>
      <c r="J31" s="43" t="str">
        <f>IFERROR(VLOOKUP(H31,Emissionsfaktoren_Stoffe!$D$4:$L$75,9,FALSE),"")</f>
        <v/>
      </c>
      <c r="K31" s="43"/>
      <c r="L31" s="938">
        <f>'THG-Emissionen ohne Zertifikat'!F43</f>
        <v>1728.8179399999999</v>
      </c>
      <c r="M31" s="29"/>
      <c r="N31" s="30"/>
    </row>
    <row r="32" spans="2:14">
      <c r="G32" s="31"/>
      <c r="H32" s="32"/>
      <c r="I32" s="34"/>
      <c r="J32" s="34"/>
      <c r="K32" s="34"/>
      <c r="L32" s="34"/>
      <c r="M32" s="34"/>
      <c r="N32" s="35"/>
    </row>
  </sheetData>
  <mergeCells count="1">
    <mergeCell ref="B2:H2"/>
  </mergeCells>
  <phoneticPr fontId="36" type="noConversion"/>
  <hyperlinks>
    <hyperlink ref="G5" location="'Aufbau LCC-CO2-Tool'!A1" display="zurück zur Übersicht" xr:uid="{D98299A4-59C3-4D0A-883A-43EB0F87BBF3}"/>
    <hyperlink ref="G6" location="'Anleitung für Beschaffende'!A47" display="zurück zur Anleitung für Beschaffende " xr:uid="{31A497D0-7E3D-49E0-BC3E-6D744D3FFEFF}"/>
    <hyperlink ref="G7" location="'Anleitung für Bietende'!A44" display="zurück zur Anleitung für Bietende" xr:uid="{BF2CC0B5-BC3C-46A7-BF43-24E8A6A55D06}"/>
  </hyperlinks>
  <pageMargins left="0.70866141732283472" right="0.70866141732283472" top="0.74803149606299213" bottom="0.74803149606299213" header="0.31496062992125984" footer="0.31496062992125984"/>
  <pageSetup paperSize="9" orientation="portrait" horizontalDpi="1200" verticalDpi="1200" r:id="rId1"/>
  <headerFooter>
    <oddHeader>&amp;C&amp;14&amp;KFF0000TESTVERSION!</oddHeader>
    <oddFooter>&amp;L&amp;8LCC-CO2-Tool - Arbeitshilfe des Umweltbundesamtes&amp;C&amp;8Hintergrundberechnungen Produktion&amp;R&amp;8&amp;P</oddFooter>
  </headerFooter>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2">
    <tabColor rgb="FFF1A0BD"/>
  </sheetPr>
  <dimension ref="B1:R31"/>
  <sheetViews>
    <sheetView showGridLines="0" zoomScale="80" zoomScaleNormal="80" workbookViewId="0"/>
  </sheetViews>
  <sheetFormatPr baseColWidth="10" defaultColWidth="8" defaultRowHeight="14.5"/>
  <cols>
    <col min="1" max="1" width="4" style="7" customWidth="1"/>
    <col min="2" max="2" width="21.58203125" style="7" hidden="1" customWidth="1"/>
    <col min="3" max="3" width="19.08203125" style="7" hidden="1" customWidth="1"/>
    <col min="4" max="4" width="11.08203125" style="7" hidden="1" customWidth="1"/>
    <col min="5" max="5" width="8" style="7" hidden="1" customWidth="1"/>
    <col min="6" max="6" width="11.58203125" style="7" hidden="1" customWidth="1"/>
    <col min="7" max="8" width="15.5" style="7" hidden="1" customWidth="1"/>
    <col min="9" max="9" width="11.58203125" style="7" hidden="1" customWidth="1"/>
    <col min="10" max="10" width="8" style="7"/>
    <col min="11" max="11" width="26.4140625" style="7" customWidth="1"/>
    <col min="12" max="12" width="25.58203125" style="7" customWidth="1"/>
    <col min="13" max="13" width="13" style="7" customWidth="1"/>
    <col min="14" max="14" width="10.25" style="7" customWidth="1"/>
    <col min="15" max="15" width="11" style="7" customWidth="1"/>
    <col min="16" max="16" width="16.25" style="7" customWidth="1"/>
    <col min="17" max="17" width="13.33203125" style="7" customWidth="1"/>
    <col min="18" max="18" width="10.25" style="7" customWidth="1"/>
    <col min="19" max="16384" width="8" style="7"/>
  </cols>
  <sheetData>
    <row r="1" spans="2:18" ht="18" customHeight="1"/>
    <row r="2" spans="2:18" ht="36" customHeight="1">
      <c r="K2" s="1017" t="s">
        <v>1845</v>
      </c>
      <c r="L2" s="1017"/>
      <c r="M2" s="1017"/>
      <c r="N2" s="1017"/>
      <c r="O2" s="1017"/>
      <c r="P2" s="1017"/>
    </row>
    <row r="3" spans="2:18" ht="14.9" customHeight="1">
      <c r="K3" s="14"/>
      <c r="L3" s="14"/>
    </row>
    <row r="4" spans="2:18" ht="14.9" customHeight="1">
      <c r="K4" s="15"/>
      <c r="L4" s="863" t="s">
        <v>353</v>
      </c>
      <c r="M4" s="21" t="s">
        <v>1782</v>
      </c>
    </row>
    <row r="5" spans="2:18" ht="37">
      <c r="K5" s="864" t="s">
        <v>1784</v>
      </c>
      <c r="L5" s="947">
        <f>Produktion!C5</f>
        <v>100</v>
      </c>
      <c r="M5" s="856" t="str">
        <f>Produktion!D5</f>
        <v>Arbeitsplatzcomputer, Variante Desktop-PC 3 Jahre</v>
      </c>
      <c r="O5" s="996" t="s">
        <v>1886</v>
      </c>
    </row>
    <row r="6" spans="2:18" ht="14.9" customHeight="1">
      <c r="K6" s="14"/>
      <c r="L6" s="14"/>
      <c r="M6" s="14"/>
      <c r="O6" s="996" t="s">
        <v>1887</v>
      </c>
    </row>
    <row r="7" spans="2:18" ht="14.9" customHeight="1">
      <c r="K7" s="19"/>
      <c r="L7" s="21" t="s">
        <v>379</v>
      </c>
      <c r="M7" s="21" t="s">
        <v>354</v>
      </c>
      <c r="O7" s="996" t="s">
        <v>1888</v>
      </c>
    </row>
    <row r="8" spans="2:18" ht="37">
      <c r="K8" s="44" t="s">
        <v>1783</v>
      </c>
      <c r="L8" s="857">
        <f>SUM(P14:P20,P24:P30)</f>
        <v>0</v>
      </c>
      <c r="M8" s="941">
        <f>SUM(R14:R20,R24:R30)</f>
        <v>0</v>
      </c>
    </row>
    <row r="9" spans="2:18">
      <c r="B9" s="14"/>
      <c r="C9" s="14"/>
    </row>
    <row r="10" spans="2:18">
      <c r="B10" s="14"/>
      <c r="C10" s="14"/>
      <c r="D10" s="14"/>
    </row>
    <row r="12" spans="2:18" ht="23.5">
      <c r="B12" s="36"/>
      <c r="C12" s="16"/>
      <c r="D12" s="16"/>
      <c r="E12" s="16"/>
      <c r="F12" s="16"/>
      <c r="G12" s="16"/>
      <c r="H12" s="16"/>
      <c r="I12" s="16"/>
      <c r="J12" s="248" t="s">
        <v>380</v>
      </c>
      <c r="K12" s="16"/>
      <c r="L12" s="16"/>
      <c r="M12" s="16"/>
      <c r="N12" s="16"/>
      <c r="O12" s="16"/>
      <c r="P12" s="16"/>
      <c r="Q12" s="16"/>
      <c r="R12" s="17"/>
    </row>
    <row r="13" spans="2:18" ht="16.5">
      <c r="B13" s="26" t="s">
        <v>359</v>
      </c>
      <c r="C13" s="27" t="s">
        <v>360</v>
      </c>
      <c r="D13" s="27" t="s">
        <v>361</v>
      </c>
      <c r="E13" s="27" t="s">
        <v>228</v>
      </c>
      <c r="F13" s="27" t="s">
        <v>381</v>
      </c>
      <c r="G13" s="27" t="s">
        <v>363</v>
      </c>
      <c r="H13" s="27" t="s">
        <v>382</v>
      </c>
      <c r="I13" s="27" t="s">
        <v>365</v>
      </c>
      <c r="J13" s="23"/>
      <c r="K13" s="27" t="s">
        <v>359</v>
      </c>
      <c r="L13" s="27" t="s">
        <v>383</v>
      </c>
      <c r="M13" s="27" t="s">
        <v>361</v>
      </c>
      <c r="N13" s="27" t="s">
        <v>228</v>
      </c>
      <c r="O13" s="77" t="s">
        <v>362</v>
      </c>
      <c r="P13" s="77" t="s">
        <v>384</v>
      </c>
      <c r="Q13" s="77" t="s">
        <v>364</v>
      </c>
      <c r="R13" s="120" t="s">
        <v>365</v>
      </c>
    </row>
    <row r="14" spans="2:18">
      <c r="B14" s="23"/>
      <c r="C14" s="7" t="s">
        <v>128</v>
      </c>
      <c r="D14" s="29"/>
      <c r="E14" s="29" t="str">
        <f>IFERROR(VLOOKUP(C14,Emissionsfaktoren_Stoffe!$D$4:$L$75,9,FALSE),"")</f>
        <v/>
      </c>
      <c r="F14" s="29">
        <f>IFERROR(VLOOKUP(H13,Emissionsfaktoren_Stoffe!$D$4:$L$75,5,FALSE),0)</f>
        <v>0</v>
      </c>
      <c r="G14" s="29">
        <f>F14*D14</f>
        <v>0</v>
      </c>
      <c r="H14" s="29">
        <f>IFERROR(VLOOKUP(H13,Emissionsfaktoren_Stoffe!$D$4:$L$75,7,FALSE),0)</f>
        <v>0</v>
      </c>
      <c r="I14" s="29">
        <f>H14*D14</f>
        <v>0</v>
      </c>
      <c r="J14" s="237"/>
      <c r="K14" s="7" t="s">
        <v>385</v>
      </c>
      <c r="L14" s="159" t="str">
        <f>IFERROR(IF(Produktion!$C$11=0,'THG-Emissionen ohne Zertifikat'!F60,'THG-Emissionen mit Zertifikat'!E32),0)</f>
        <v>[Bitte auswählen]</v>
      </c>
      <c r="M14" s="943">
        <f>IFERROR(IF(Produktion!$C$11=0,'THG-Emissionen ohne Zertifikat'!G60*'THG-Emissionen ohne Zertifikat'!$H$60/1000,'THG-Emissionen mit Zertifikat'!F32*'THG-Emissionen mit Zertifikat'!$G$32/1000),0)</f>
        <v>0</v>
      </c>
      <c r="N14" s="603" t="str">
        <f>IFERROR(VLOOKUP(L14,Emissionsfaktoren_Prozesse!$D$160:$F$183,3,FALSE),"")</f>
        <v/>
      </c>
      <c r="O14" s="603">
        <f>IFERROR(VLOOKUP(L14,Emissionsfaktoren_Prozesse!$D$160:$N$183,11,FALSE),0)</f>
        <v>0</v>
      </c>
      <c r="P14" s="158">
        <f>O14*M14</f>
        <v>0</v>
      </c>
      <c r="Q14" s="603">
        <f>IFERROR(VLOOKUP(L14,Emissionsfaktoren_Prozesse!$D$160:$Q$183,14,FALSE),0)</f>
        <v>0</v>
      </c>
      <c r="R14" s="604">
        <f>Q14*M14</f>
        <v>0</v>
      </c>
    </row>
    <row r="15" spans="2:18">
      <c r="B15" s="23"/>
      <c r="C15" s="7" t="s">
        <v>128</v>
      </c>
      <c r="D15" s="29"/>
      <c r="E15" s="29" t="str">
        <f>IFERROR(VLOOKUP(C15,Emissionsfaktoren_Stoffe!$D$4:$L$75,9,FALSE),"")</f>
        <v/>
      </c>
      <c r="F15" s="29">
        <f>IFERROR(VLOOKUP(H14,Emissionsfaktoren_Stoffe!$D$4:$L$75,5,FALSE),0)</f>
        <v>0</v>
      </c>
      <c r="G15" s="29">
        <f t="shared" ref="G15:G31" si="0">F15*D15</f>
        <v>0</v>
      </c>
      <c r="H15" s="29">
        <f>IFERROR(VLOOKUP(H14,Emissionsfaktoren_Stoffe!$D$4:$L$75,7,FALSE),0)</f>
        <v>0</v>
      </c>
      <c r="I15" s="29">
        <f t="shared" ref="I15:I31" si="1">H15*D15</f>
        <v>0</v>
      </c>
      <c r="J15" s="237"/>
      <c r="K15" s="7" t="s">
        <v>386</v>
      </c>
      <c r="L15" s="159" t="str">
        <f>IFERROR(IF(Produktion!$C$11=0,'THG-Emissionen ohne Zertifikat'!F62,'THG-Emissionen mit Zertifikat'!E34),0)</f>
        <v>[Bitte auswählen]</v>
      </c>
      <c r="M15" s="943">
        <f>IFERROR(IF(Produktion!$C$11=0,'THG-Emissionen ohne Zertifikat'!G62*'THG-Emissionen ohne Zertifikat'!$H$62/1000,'THG-Emissionen mit Zertifikat'!F34*'THG-Emissionen mit Zertifikat'!$G$34/1000),0)</f>
        <v>0</v>
      </c>
      <c r="N15" s="603" t="str">
        <f>IFERROR(VLOOKUP(L15,Emissionsfaktoren_Prozesse!$D$160:$F$183,3,FALSE),"")</f>
        <v/>
      </c>
      <c r="O15" s="603">
        <f>IFERROR(VLOOKUP(L15,Emissionsfaktoren_Prozesse!$D$160:$N$183,11,FALSE),0)</f>
        <v>0</v>
      </c>
      <c r="P15" s="158">
        <f>O15*M15</f>
        <v>0</v>
      </c>
      <c r="Q15" s="603">
        <f>IFERROR(VLOOKUP(L15,Emissionsfaktoren_Prozesse!$D$160:$Q$183,14,FALSE),0)</f>
        <v>0</v>
      </c>
      <c r="R15" s="604">
        <f>Q15*M15</f>
        <v>0</v>
      </c>
    </row>
    <row r="16" spans="2:18">
      <c r="B16" s="23"/>
      <c r="C16" s="7" t="s">
        <v>128</v>
      </c>
      <c r="D16" s="29"/>
      <c r="E16" s="29" t="str">
        <f>IFERROR(VLOOKUP(C16,Emissionsfaktoren_Stoffe!$D$4:$L$75,9,FALSE),"")</f>
        <v/>
      </c>
      <c r="F16" s="29">
        <f>IFERROR(VLOOKUP(H15,Emissionsfaktoren_Stoffe!$D$4:$L$75,5,FALSE),0)</f>
        <v>0</v>
      </c>
      <c r="G16" s="29">
        <f t="shared" si="0"/>
        <v>0</v>
      </c>
      <c r="H16" s="29">
        <f>IFERROR(VLOOKUP(H15,Emissionsfaktoren_Stoffe!$D$4:$L$75,7,FALSE),0)</f>
        <v>0</v>
      </c>
      <c r="I16" s="29">
        <f t="shared" si="1"/>
        <v>0</v>
      </c>
      <c r="J16" s="237"/>
      <c r="K16" s="7" t="s">
        <v>387</v>
      </c>
      <c r="L16" s="159" t="str">
        <f>IFERROR(IF(Produktion!$C$11=0,'THG-Emissionen ohne Zertifikat'!F64,'THG-Emissionen mit Zertifikat'!E36),0)</f>
        <v>[Bitte auswählen]</v>
      </c>
      <c r="M16" s="943">
        <f>IFERROR(IF(Produktion!$C$11=0,'THG-Emissionen ohne Zertifikat'!G64*'THG-Emissionen ohne Zertifikat'!$H$64/1000,'THG-Emissionen mit Zertifikat'!F36*'THG-Emissionen mit Zertifikat'!$G$36/1000),0)</f>
        <v>0</v>
      </c>
      <c r="N16" s="603" t="str">
        <f>IFERROR(VLOOKUP(L16,Emissionsfaktoren_Prozesse!$D$160:$F$183,3,FALSE),"")</f>
        <v/>
      </c>
      <c r="O16" s="603">
        <f>IFERROR(VLOOKUP(L16,Emissionsfaktoren_Prozesse!$D$160:$N$183,11,FALSE),0)</f>
        <v>0</v>
      </c>
      <c r="P16" s="158">
        <f t="shared" ref="P16" si="2">O16*M16</f>
        <v>0</v>
      </c>
      <c r="Q16" s="603">
        <f>IFERROR(VLOOKUP(L16,Emissionsfaktoren_Prozesse!$D$160:$Q$183,14,FALSE),0)</f>
        <v>0</v>
      </c>
      <c r="R16" s="604">
        <f t="shared" ref="R16:R30" si="3">Q16*M16</f>
        <v>0</v>
      </c>
    </row>
    <row r="17" spans="2:18">
      <c r="B17" s="23"/>
      <c r="C17" s="7" t="s">
        <v>128</v>
      </c>
      <c r="D17" s="29"/>
      <c r="E17" s="29" t="str">
        <f>IFERROR(VLOOKUP(C17,Emissionsfaktoren_Stoffe!$D$4:$L$75,9,FALSE),"")</f>
        <v/>
      </c>
      <c r="F17" s="29">
        <f>IFERROR(VLOOKUP(H16,Emissionsfaktoren_Stoffe!$D$4:$L$75,5,FALSE),0)</f>
        <v>0</v>
      </c>
      <c r="G17" s="29">
        <f t="shared" si="0"/>
        <v>0</v>
      </c>
      <c r="H17" s="29">
        <f>IFERROR(VLOOKUP(H16,Emissionsfaktoren_Stoffe!$D$4:$L$75,7,FALSE),0)</f>
        <v>0</v>
      </c>
      <c r="I17" s="29">
        <f t="shared" si="1"/>
        <v>0</v>
      </c>
      <c r="J17" s="237"/>
      <c r="K17" s="7" t="s">
        <v>388</v>
      </c>
      <c r="L17" s="159" t="str">
        <f>IFERROR(IF(Produktion!$C$11=0,'THG-Emissionen ohne Zertifikat'!F66,'THG-Emissionen mit Zertifikat'!E38),0)</f>
        <v>[Bitte auswählen]</v>
      </c>
      <c r="M17" s="943">
        <f>IFERROR(IF(Produktion!$C$11=0,'THG-Emissionen ohne Zertifikat'!G66*'THG-Emissionen ohne Zertifikat'!$H$66/1000,'THG-Emissionen mit Zertifikat'!F38*'THG-Emissionen mit Zertifikat'!$G$38/1000),0)</f>
        <v>0</v>
      </c>
      <c r="N17" s="603" t="str">
        <f>IFERROR(VLOOKUP(L17,Emissionsfaktoren_Prozesse!$D$160:$F$183,3,FALSE),"")</f>
        <v/>
      </c>
      <c r="O17" s="603">
        <f>IFERROR(VLOOKUP(L17,Emissionsfaktoren_Prozesse!$D$160:$N$183,11,FALSE),0)</f>
        <v>0</v>
      </c>
      <c r="P17" s="158">
        <f t="shared" ref="P17:P20" si="4">O17*M17</f>
        <v>0</v>
      </c>
      <c r="Q17" s="603">
        <f>IFERROR(VLOOKUP(L17,Emissionsfaktoren_Prozesse!$D$160:$Q$183,14,FALSE),0)</f>
        <v>0</v>
      </c>
      <c r="R17" s="604">
        <f t="shared" ref="R17:R20" si="5">Q17*M17</f>
        <v>0</v>
      </c>
    </row>
    <row r="18" spans="2:18">
      <c r="B18" s="23"/>
      <c r="C18" s="7" t="s">
        <v>128</v>
      </c>
      <c r="D18" s="29"/>
      <c r="E18" s="29" t="str">
        <f>IFERROR(VLOOKUP(C18,Emissionsfaktoren_Stoffe!$D$4:$L$75,9,FALSE),"")</f>
        <v/>
      </c>
      <c r="F18" s="29">
        <f>IFERROR(VLOOKUP(H17,Emissionsfaktoren_Stoffe!$D$4:$L$75,5,FALSE),0)</f>
        <v>0</v>
      </c>
      <c r="G18" s="29">
        <f t="shared" si="0"/>
        <v>0</v>
      </c>
      <c r="H18" s="29">
        <f>IFERROR(VLOOKUP(H17,Emissionsfaktoren_Stoffe!$D$4:$L$75,7,FALSE),0)</f>
        <v>0</v>
      </c>
      <c r="I18" s="29">
        <f t="shared" si="1"/>
        <v>0</v>
      </c>
      <c r="J18" s="237"/>
      <c r="K18" s="7" t="s">
        <v>389</v>
      </c>
      <c r="L18" s="159" t="str">
        <f>IFERROR(IF(Produktion!$C$11=0,'THG-Emissionen ohne Zertifikat'!F68,'THG-Emissionen mit Zertifikat'!E40),0)</f>
        <v>[Bitte auswählen]</v>
      </c>
      <c r="M18" s="943">
        <f>IFERROR(IF(Produktion!$C$11=0,'THG-Emissionen ohne Zertifikat'!G68*'THG-Emissionen ohne Zertifikat'!$H$68/1000,'THG-Emissionen mit Zertifikat'!F40*'THG-Emissionen mit Zertifikat'!$G$40/1000),0)</f>
        <v>0</v>
      </c>
      <c r="N18" s="603" t="str">
        <f>IFERROR(VLOOKUP(L18,Emissionsfaktoren_Prozesse!$D$160:$F$183,3,FALSE),"")</f>
        <v/>
      </c>
      <c r="O18" s="603">
        <f>IFERROR(VLOOKUP(L18,Emissionsfaktoren_Prozesse!$D$160:$N$183,11,FALSE),0)</f>
        <v>0</v>
      </c>
      <c r="P18" s="158">
        <f t="shared" si="4"/>
        <v>0</v>
      </c>
      <c r="Q18" s="603">
        <f>IFERROR(VLOOKUP(L18,Emissionsfaktoren_Prozesse!$D$160:$Q$183,14,FALSE),0)</f>
        <v>0</v>
      </c>
      <c r="R18" s="604">
        <f t="shared" si="5"/>
        <v>0</v>
      </c>
    </row>
    <row r="19" spans="2:18">
      <c r="B19" s="23"/>
      <c r="C19" s="7" t="s">
        <v>128</v>
      </c>
      <c r="D19" s="29"/>
      <c r="E19" s="29" t="str">
        <f>IFERROR(VLOOKUP(C19,Emissionsfaktoren_Stoffe!$D$4:$L$75,9,FALSE),"")</f>
        <v/>
      </c>
      <c r="F19" s="29">
        <f>IFERROR(VLOOKUP(H18,Emissionsfaktoren_Stoffe!$D$4:$L$75,5,FALSE),0)</f>
        <v>0</v>
      </c>
      <c r="G19" s="29">
        <f t="shared" si="0"/>
        <v>0</v>
      </c>
      <c r="H19" s="29">
        <f>IFERROR(VLOOKUP(H18,Emissionsfaktoren_Stoffe!$D$4:$L$75,7,FALSE),0)</f>
        <v>0</v>
      </c>
      <c r="I19" s="29">
        <f t="shared" si="1"/>
        <v>0</v>
      </c>
      <c r="J19" s="237"/>
      <c r="K19" s="7" t="s">
        <v>390</v>
      </c>
      <c r="L19" s="159" t="str">
        <f>IFERROR(IF(Produktion!$C$11=0,'THG-Emissionen ohne Zertifikat'!F70,'THG-Emissionen mit Zertifikat'!E42),0)</f>
        <v>[Bitte auswählen]</v>
      </c>
      <c r="M19" s="943">
        <f>IFERROR(IF(Produktion!$C$11=0,'THG-Emissionen ohne Zertifikat'!G70*'THG-Emissionen ohne Zertifikat'!$H$70/1000,'THG-Emissionen mit Zertifikat'!F42*'THG-Emissionen mit Zertifikat'!$G$42/1000),0)</f>
        <v>0</v>
      </c>
      <c r="N19" s="603" t="str">
        <f>IFERROR(VLOOKUP(L19,Emissionsfaktoren_Prozesse!$D$160:$F$183,3,FALSE),"")</f>
        <v/>
      </c>
      <c r="O19" s="603">
        <f>IFERROR(VLOOKUP(L19,Emissionsfaktoren_Prozesse!$D$160:$N$183,11,FALSE),0)</f>
        <v>0</v>
      </c>
      <c r="P19" s="158">
        <f t="shared" si="4"/>
        <v>0</v>
      </c>
      <c r="Q19" s="603">
        <f>IFERROR(VLOOKUP(L19,Emissionsfaktoren_Prozesse!$D$160:$Q$183,14,FALSE),0)</f>
        <v>0</v>
      </c>
      <c r="R19" s="604">
        <f t="shared" si="5"/>
        <v>0</v>
      </c>
    </row>
    <row r="20" spans="2:18">
      <c r="B20" s="23"/>
      <c r="C20" s="7" t="s">
        <v>128</v>
      </c>
      <c r="D20" s="29"/>
      <c r="E20" s="29" t="str">
        <f>IFERROR(VLOOKUP(C20,Emissionsfaktoren_Stoffe!$D$4:$L$75,9,FALSE),"")</f>
        <v/>
      </c>
      <c r="F20" s="29">
        <f>IFERROR(VLOOKUP(H19,Emissionsfaktoren_Stoffe!$D$4:$L$75,5,FALSE),0)</f>
        <v>0</v>
      </c>
      <c r="G20" s="29">
        <f t="shared" si="0"/>
        <v>0</v>
      </c>
      <c r="H20" s="29">
        <f>IFERROR(VLOOKUP(H19,Emissionsfaktoren_Stoffe!$D$4:$L$75,7,FALSE),0)</f>
        <v>0</v>
      </c>
      <c r="I20" s="29">
        <f t="shared" si="1"/>
        <v>0</v>
      </c>
      <c r="J20" s="237"/>
      <c r="K20" s="7" t="s">
        <v>391</v>
      </c>
      <c r="L20" s="159" t="str">
        <f>IFERROR(IF(Produktion!$C$11=0,'THG-Emissionen ohne Zertifikat'!F72,'THG-Emissionen mit Zertifikat'!E44),0)</f>
        <v>[Bitte auswählen]</v>
      </c>
      <c r="M20" s="943">
        <f>IFERROR(IF(Produktion!$C$11=0,'THG-Emissionen ohne Zertifikat'!G72*'THG-Emissionen ohne Zertifikat'!$H$72/1000,'THG-Emissionen mit Zertifikat'!F44*'THG-Emissionen mit Zertifikat'!$G$44/1000),0)</f>
        <v>0</v>
      </c>
      <c r="N20" s="603" t="str">
        <f>IFERROR(VLOOKUP(L20,Emissionsfaktoren_Prozesse!$D$160:$F$183,3,FALSE),"")</f>
        <v/>
      </c>
      <c r="O20" s="603">
        <f>IFERROR(VLOOKUP(L20,Emissionsfaktoren_Prozesse!$D$160:$N$183,11,FALSE),0)</f>
        <v>0</v>
      </c>
      <c r="P20" s="158">
        <f t="shared" si="4"/>
        <v>0</v>
      </c>
      <c r="Q20" s="603">
        <f>IFERROR(VLOOKUP(L20,Emissionsfaktoren_Prozesse!$D$160:$Q$183,14,FALSE),0)</f>
        <v>0</v>
      </c>
      <c r="R20" s="604">
        <f t="shared" si="5"/>
        <v>0</v>
      </c>
    </row>
    <row r="21" spans="2:18">
      <c r="B21" s="23"/>
      <c r="D21" s="29"/>
      <c r="E21" s="29"/>
      <c r="F21" s="29"/>
      <c r="G21" s="29"/>
      <c r="H21" s="29"/>
      <c r="I21" s="29"/>
      <c r="J21" s="239"/>
      <c r="M21" s="29"/>
      <c r="N21" s="29"/>
      <c r="O21" s="29"/>
      <c r="P21" s="6"/>
      <c r="Q21" s="29"/>
      <c r="R21" s="30"/>
    </row>
    <row r="22" spans="2:18" ht="23.5">
      <c r="B22" s="23"/>
      <c r="C22" s="7" t="s">
        <v>128</v>
      </c>
      <c r="D22" s="29"/>
      <c r="E22" s="29" t="str">
        <f>IFERROR(VLOOKUP(C22,Emissionsfaktoren_Stoffe!$D$4:$L$75,9,FALSE),"")</f>
        <v/>
      </c>
      <c r="F22" s="29">
        <f>IFERROR(VLOOKUP(H20,Emissionsfaktoren_Stoffe!$D$4:$L$75,5,FALSE),0)</f>
        <v>0</v>
      </c>
      <c r="G22" s="29">
        <f t="shared" si="0"/>
        <v>0</v>
      </c>
      <c r="H22" s="29">
        <f>IFERROR(VLOOKUP(H20,Emissionsfaktoren_Stoffe!$D$4:$L$75,7,FALSE),0)</f>
        <v>0</v>
      </c>
      <c r="I22" s="29">
        <f t="shared" si="1"/>
        <v>0</v>
      </c>
      <c r="J22" s="246" t="s">
        <v>392</v>
      </c>
      <c r="M22" s="29"/>
      <c r="N22" s="29" t="str">
        <f>IFERROR(VLOOKUP(L22,Emissionsfaktoren_Prozesse!$F$4:$R$149,14,FALSE),"")</f>
        <v/>
      </c>
      <c r="O22" s="29"/>
      <c r="P22" s="29"/>
      <c r="Q22" s="29"/>
      <c r="R22" s="30"/>
    </row>
    <row r="23" spans="2:18" ht="16.5">
      <c r="B23" s="23"/>
      <c r="C23" s="7" t="s">
        <v>128</v>
      </c>
      <c r="D23" s="29"/>
      <c r="E23" s="29" t="str">
        <f>IFERROR(VLOOKUP(C23,Emissionsfaktoren_Stoffe!$D$4:$L$75,9,FALSE),"")</f>
        <v/>
      </c>
      <c r="F23" s="29">
        <f>IFERROR(VLOOKUP(H22,Emissionsfaktoren_Stoffe!$D$4:$L$75,5,FALSE),0)</f>
        <v>0</v>
      </c>
      <c r="G23" s="29">
        <f t="shared" si="0"/>
        <v>0</v>
      </c>
      <c r="H23" s="29">
        <f>IFERROR(VLOOKUP(H22,Emissionsfaktoren_Stoffe!$D$4:$L$75,7,FALSE),0)</f>
        <v>0</v>
      </c>
      <c r="I23" s="29">
        <f t="shared" si="1"/>
        <v>0</v>
      </c>
      <c r="J23" s="23"/>
      <c r="K23" s="27" t="s">
        <v>359</v>
      </c>
      <c r="L23" s="27" t="s">
        <v>383</v>
      </c>
      <c r="M23" s="27" t="s">
        <v>361</v>
      </c>
      <c r="N23" s="27" t="s">
        <v>228</v>
      </c>
      <c r="O23" s="77" t="s">
        <v>362</v>
      </c>
      <c r="P23" s="77" t="s">
        <v>384</v>
      </c>
      <c r="Q23" s="77" t="s">
        <v>364</v>
      </c>
      <c r="R23" s="120" t="s">
        <v>365</v>
      </c>
    </row>
    <row r="24" spans="2:18">
      <c r="B24" s="23"/>
      <c r="C24" s="7" t="s">
        <v>128</v>
      </c>
      <c r="D24" s="29"/>
      <c r="E24" s="29" t="str">
        <f>IFERROR(VLOOKUP(C24,Emissionsfaktoren_Stoffe!$D$4:$L$75,9,FALSE),"")</f>
        <v/>
      </c>
      <c r="F24" s="29">
        <f>IFERROR(VLOOKUP(H23,Emissionsfaktoren_Stoffe!$D$4:$L$75,5,FALSE),0)</f>
        <v>0</v>
      </c>
      <c r="G24" s="29">
        <f t="shared" si="0"/>
        <v>0</v>
      </c>
      <c r="H24" s="29">
        <f>IFERROR(VLOOKUP(H23,Emissionsfaktoren_Stoffe!$D$4:$L$75,7,FALSE),0)</f>
        <v>0</v>
      </c>
      <c r="I24" s="29">
        <f t="shared" si="1"/>
        <v>0</v>
      </c>
      <c r="J24" s="238"/>
      <c r="K24" s="499" t="s">
        <v>393</v>
      </c>
      <c r="L24" s="159" t="str">
        <f>IFERROR(IF(Produktion!$C$11=0,'THG-Emissionen ohne Zertifikat'!F77,'THG-Emissionen mit Zertifikat'!E49),0)</f>
        <v>[Bitte auswählen]</v>
      </c>
      <c r="M24" s="943">
        <f>IFERROR(IF(Produktion!$C$11=0,'THG-Emissionen ohne Zertifikat'!G77,'THG-Emissionen mit Zertifikat'!F49),0)</f>
        <v>0</v>
      </c>
      <c r="N24" s="603" t="str">
        <f>IFERROR(VLOOKUP(L24,Emissionsfaktoren_Prozesse!$D$108:$F$156,3,FALSE),"")</f>
        <v/>
      </c>
      <c r="O24" s="603">
        <f>IFERROR(VLOOKUP(L24,Emissionsfaktoren_Prozesse!$D$108:$N$156,11,FALSE),0)</f>
        <v>0</v>
      </c>
      <c r="P24" s="158">
        <f>IFERROR(O24*M24/$L$5*(IF(Produktion!$C$11=0,'THG-Emissionen ohne Zertifikat'!I77,'THG-Emissionen mit Zertifikat'!H49)),0)</f>
        <v>0</v>
      </c>
      <c r="Q24" s="603">
        <f>IFERROR(VLOOKUP(L24,Emissionsfaktoren_Prozesse!$D$108:$Q$156,14,FALSE),0)</f>
        <v>0</v>
      </c>
      <c r="R24" s="948">
        <f t="shared" si="3"/>
        <v>0</v>
      </c>
    </row>
    <row r="25" spans="2:18">
      <c r="B25" s="23"/>
      <c r="C25" s="7" t="s">
        <v>128</v>
      </c>
      <c r="D25" s="29"/>
      <c r="E25" s="29" t="str">
        <f>IFERROR(VLOOKUP(C25,Emissionsfaktoren_Stoffe!$D$4:$L$75,9,FALSE),"")</f>
        <v/>
      </c>
      <c r="F25" s="29">
        <f>IFERROR(VLOOKUP(H24,Emissionsfaktoren_Stoffe!$D$4:$L$75,5,FALSE),0)</f>
        <v>0</v>
      </c>
      <c r="G25" s="29">
        <f t="shared" si="0"/>
        <v>0</v>
      </c>
      <c r="H25" s="29">
        <f>IFERROR(VLOOKUP(H24,Emissionsfaktoren_Stoffe!$D$4:$L$75,7,FALSE),0)</f>
        <v>0</v>
      </c>
      <c r="I25" s="29">
        <f t="shared" si="1"/>
        <v>0</v>
      </c>
      <c r="J25" s="238"/>
      <c r="K25" s="499" t="s">
        <v>394</v>
      </c>
      <c r="L25" s="159" t="str">
        <f>IFERROR(IF(Produktion!$C$11=0,'THG-Emissionen ohne Zertifikat'!F79,'THG-Emissionen mit Zertifikat'!E51),0)</f>
        <v>[Bitte auswählen]</v>
      </c>
      <c r="M25" s="943">
        <f>IFERROR(IF(Produktion!$C$11=0,'THG-Emissionen ohne Zertifikat'!G79,'THG-Emissionen mit Zertifikat'!F51),0)</f>
        <v>0</v>
      </c>
      <c r="N25" s="603" t="str">
        <f>IFERROR(VLOOKUP(L25,Emissionsfaktoren_Prozesse!$D$108:$F$156,3,FALSE),"")</f>
        <v/>
      </c>
      <c r="O25" s="603">
        <f>IFERROR(VLOOKUP(L25,Emissionsfaktoren_Prozesse!$D$108:$N$156,11,FALSE),0)</f>
        <v>0</v>
      </c>
      <c r="P25" s="158">
        <f>IFERROR(O25*M25/$L$5*(IF(Produktion!$C$11=0,'THG-Emissionen ohne Zertifikat'!I79,'THG-Emissionen mit Zertifikat'!H51)),0)</f>
        <v>0</v>
      </c>
      <c r="Q25" s="603">
        <f>IFERROR(VLOOKUP(L25,Emissionsfaktoren_Prozesse!$D$108:$Q$156,14,FALSE),0)</f>
        <v>0</v>
      </c>
      <c r="R25" s="948">
        <f t="shared" si="3"/>
        <v>0</v>
      </c>
    </row>
    <row r="26" spans="2:18">
      <c r="B26" s="23"/>
      <c r="C26" s="7" t="s">
        <v>128</v>
      </c>
      <c r="D26" s="29"/>
      <c r="E26" s="29" t="str">
        <f>IFERROR(VLOOKUP(C26,Emissionsfaktoren_Stoffe!$D$4:$L$75,9,FALSE),"")</f>
        <v/>
      </c>
      <c r="F26" s="29">
        <f>IFERROR(VLOOKUP(H25,Emissionsfaktoren_Stoffe!$D$4:$L$75,5,FALSE),0)</f>
        <v>0</v>
      </c>
      <c r="G26" s="29">
        <f t="shared" si="0"/>
        <v>0</v>
      </c>
      <c r="H26" s="29">
        <f>IFERROR(VLOOKUP(H25,Emissionsfaktoren_Stoffe!$D$4:$L$75,7,FALSE),0)</f>
        <v>0</v>
      </c>
      <c r="I26" s="29">
        <f t="shared" si="1"/>
        <v>0</v>
      </c>
      <c r="J26" s="238"/>
      <c r="K26" s="499" t="s">
        <v>395</v>
      </c>
      <c r="L26" s="159" t="str">
        <f>IFERROR(IF(Produktion!$C$11=0,'THG-Emissionen ohne Zertifikat'!F81,'THG-Emissionen mit Zertifikat'!E53),0)</f>
        <v>[Bitte auswählen]</v>
      </c>
      <c r="M26" s="943">
        <f>IFERROR(IF(Produktion!$C$11=0,'THG-Emissionen ohne Zertifikat'!G81,'THG-Emissionen mit Zertifikat'!F53),0)</f>
        <v>0</v>
      </c>
      <c r="N26" s="603" t="str">
        <f>IFERROR(VLOOKUP(L26,Emissionsfaktoren_Prozesse!$D$108:$F$156,3,FALSE),"")</f>
        <v/>
      </c>
      <c r="O26" s="603">
        <f>IFERROR(VLOOKUP(L26,Emissionsfaktoren_Prozesse!$D$108:$N$156,11,FALSE),0)</f>
        <v>0</v>
      </c>
      <c r="P26" s="158">
        <f>IFERROR(O26*M26/$L$5*(IF(Produktion!$C$11=0,'THG-Emissionen ohne Zertifikat'!I81,'THG-Emissionen mit Zertifikat'!H53)),0)</f>
        <v>0</v>
      </c>
      <c r="Q26" s="603">
        <f>IFERROR(VLOOKUP(L26,Emissionsfaktoren_Prozesse!$D$108:$Q$156,14,FALSE),0)</f>
        <v>0</v>
      </c>
      <c r="R26" s="948">
        <f t="shared" si="3"/>
        <v>0</v>
      </c>
    </row>
    <row r="27" spans="2:18">
      <c r="B27" s="23"/>
      <c r="C27" s="7" t="s">
        <v>128</v>
      </c>
      <c r="D27" s="29"/>
      <c r="E27" s="29" t="str">
        <f>IFERROR(VLOOKUP(C27,Emissionsfaktoren_Stoffe!$D$4:$L$75,9,FALSE),"")</f>
        <v/>
      </c>
      <c r="F27" s="29">
        <f>IFERROR(VLOOKUP(H26,Emissionsfaktoren_Stoffe!$D$4:$L$75,5,FALSE),0)</f>
        <v>0</v>
      </c>
      <c r="G27" s="29">
        <f t="shared" si="0"/>
        <v>0</v>
      </c>
      <c r="H27" s="29">
        <f>IFERROR(VLOOKUP(H26,Emissionsfaktoren_Stoffe!$D$4:$L$75,7,FALSE),0)</f>
        <v>0</v>
      </c>
      <c r="I27" s="29">
        <f t="shared" si="1"/>
        <v>0</v>
      </c>
      <c r="J27" s="238"/>
      <c r="K27" s="499" t="s">
        <v>396</v>
      </c>
      <c r="L27" s="159" t="str">
        <f>IFERROR(IF(Produktion!$C$11=0,'THG-Emissionen ohne Zertifikat'!F83,'THG-Emissionen mit Zertifikat'!E55),0)</f>
        <v>[Bitte auswählen]</v>
      </c>
      <c r="M27" s="943">
        <f>IFERROR(IF(Produktion!$C$11=0,'THG-Emissionen ohne Zertifikat'!G83,'THG-Emissionen mit Zertifikat'!F55),0)</f>
        <v>0</v>
      </c>
      <c r="N27" s="603" t="str">
        <f>IFERROR(VLOOKUP(L27,Emissionsfaktoren_Prozesse!$D$108:$F$156,3,FALSE),"")</f>
        <v/>
      </c>
      <c r="O27" s="603">
        <f>IFERROR(VLOOKUP(L27,Emissionsfaktoren_Prozesse!$D$108:$N$156,11,FALSE),0)</f>
        <v>0</v>
      </c>
      <c r="P27" s="158">
        <f>IFERROR(O27*M27/$L$5*(IF(Produktion!$C$11=0,'THG-Emissionen ohne Zertifikat'!I83,'THG-Emissionen mit Zertifikat'!H55)),0)</f>
        <v>0</v>
      </c>
      <c r="Q27" s="603">
        <f>IFERROR(VLOOKUP(L27,Emissionsfaktoren_Prozesse!$D$108:$Q$156,14,FALSE),0)</f>
        <v>0</v>
      </c>
      <c r="R27" s="948">
        <f t="shared" si="3"/>
        <v>0</v>
      </c>
    </row>
    <row r="28" spans="2:18">
      <c r="B28" s="23"/>
      <c r="C28" s="7" t="s">
        <v>128</v>
      </c>
      <c r="D28" s="29"/>
      <c r="E28" s="29" t="str">
        <f>IFERROR(VLOOKUP(C28,Emissionsfaktoren_Stoffe!$D$4:$L$75,9,FALSE),"")</f>
        <v/>
      </c>
      <c r="F28" s="29">
        <f>IFERROR(VLOOKUP(H27,Emissionsfaktoren_Stoffe!$D$4:$L$75,5,FALSE),0)</f>
        <v>0</v>
      </c>
      <c r="G28" s="29">
        <f t="shared" si="0"/>
        <v>0</v>
      </c>
      <c r="H28" s="29">
        <f>IFERROR(VLOOKUP(H27,Emissionsfaktoren_Stoffe!$D$4:$L$75,7,FALSE),0)</f>
        <v>0</v>
      </c>
      <c r="I28" s="29">
        <f t="shared" si="1"/>
        <v>0</v>
      </c>
      <c r="J28" s="238"/>
      <c r="K28" s="499" t="s">
        <v>397</v>
      </c>
      <c r="L28" s="159" t="str">
        <f>IFERROR(IF(Produktion!$C$11=0,'THG-Emissionen ohne Zertifikat'!F85,'THG-Emissionen mit Zertifikat'!E57),0)</f>
        <v>[Bitte auswählen]</v>
      </c>
      <c r="M28" s="943">
        <f>IFERROR(IF(Produktion!$C$11=0,'THG-Emissionen ohne Zertifikat'!G85,'THG-Emissionen mit Zertifikat'!F57),0)</f>
        <v>0</v>
      </c>
      <c r="N28" s="603" t="str">
        <f>IFERROR(VLOOKUP(L28,Emissionsfaktoren_Prozesse!$D$108:$F$156,3,FALSE),"")</f>
        <v/>
      </c>
      <c r="O28" s="603">
        <f>IFERROR(VLOOKUP(L28,Emissionsfaktoren_Prozesse!$D$108:$N$156,11,FALSE),0)</f>
        <v>0</v>
      </c>
      <c r="P28" s="158">
        <f>IFERROR(O28*M28/$L$5*(IF(Produktion!$C$11=0,'THG-Emissionen ohne Zertifikat'!I85,'THG-Emissionen mit Zertifikat'!H57)),0)</f>
        <v>0</v>
      </c>
      <c r="Q28" s="603">
        <f>IFERROR(VLOOKUP(L28,Emissionsfaktoren_Prozesse!$D$108:$Q$156,14,FALSE),0)</f>
        <v>0</v>
      </c>
      <c r="R28" s="948">
        <f t="shared" si="3"/>
        <v>0</v>
      </c>
    </row>
    <row r="29" spans="2:18">
      <c r="B29" s="23"/>
      <c r="C29" s="7" t="s">
        <v>128</v>
      </c>
      <c r="D29" s="29"/>
      <c r="E29" s="29" t="str">
        <f>IFERROR(VLOOKUP(C29,Emissionsfaktoren_Stoffe!$D$4:$L$75,9,FALSE),"")</f>
        <v/>
      </c>
      <c r="F29" s="29">
        <f>IFERROR(VLOOKUP(H28,Emissionsfaktoren_Stoffe!$D$4:$L$75,5,FALSE),0)</f>
        <v>0</v>
      </c>
      <c r="G29" s="29">
        <f t="shared" si="0"/>
        <v>0</v>
      </c>
      <c r="H29" s="29">
        <f>IFERROR(VLOOKUP(H28,Emissionsfaktoren_Stoffe!$D$4:$L$75,7,FALSE),0)</f>
        <v>0</v>
      </c>
      <c r="I29" s="29">
        <f t="shared" si="1"/>
        <v>0</v>
      </c>
      <c r="J29" s="238"/>
      <c r="K29" s="499" t="s">
        <v>398</v>
      </c>
      <c r="L29" s="159" t="str">
        <f>IFERROR(IF(Produktion!$C$11=0,'THG-Emissionen ohne Zertifikat'!F87,'THG-Emissionen mit Zertifikat'!E59),0)</f>
        <v>[Bitte auswählen]</v>
      </c>
      <c r="M29" s="943">
        <f>IFERROR(IF(Produktion!$C$11=0,'THG-Emissionen ohne Zertifikat'!G87,'THG-Emissionen mit Zertifikat'!F59),0)</f>
        <v>0</v>
      </c>
      <c r="N29" s="603" t="str">
        <f>IFERROR(VLOOKUP(L29,Emissionsfaktoren_Prozesse!$D$108:$F$156,3,FALSE),"")</f>
        <v/>
      </c>
      <c r="O29" s="603">
        <f>IFERROR(VLOOKUP(L29,Emissionsfaktoren_Prozesse!$D$108:$N$156,11,FALSE),0)</f>
        <v>0</v>
      </c>
      <c r="P29" s="158">
        <f>IFERROR(O29*M29/$L$5*(IF(Produktion!$C$11=0,'THG-Emissionen ohne Zertifikat'!I87,'THG-Emissionen mit Zertifikat'!H59)),0)</f>
        <v>0</v>
      </c>
      <c r="Q29" s="603">
        <f>IFERROR(VLOOKUP(L29,Emissionsfaktoren_Prozesse!$D$108:$Q$156,14,FALSE),0)</f>
        <v>0</v>
      </c>
      <c r="R29" s="948">
        <f t="shared" si="3"/>
        <v>0</v>
      </c>
    </row>
    <row r="30" spans="2:18">
      <c r="B30" s="23"/>
      <c r="C30" s="7" t="s">
        <v>128</v>
      </c>
      <c r="D30" s="29"/>
      <c r="E30" s="29" t="str">
        <f>IFERROR(VLOOKUP(C30,Emissionsfaktoren_Stoffe!$D$4:$L$75,9,FALSE),"")</f>
        <v/>
      </c>
      <c r="F30" s="29">
        <f>IFERROR(VLOOKUP(H29,Emissionsfaktoren_Stoffe!$D$4:$L$75,5,FALSE),0)</f>
        <v>0</v>
      </c>
      <c r="G30" s="29">
        <f t="shared" si="0"/>
        <v>0</v>
      </c>
      <c r="H30" s="29">
        <f>IFERROR(VLOOKUP(H29,Emissionsfaktoren_Stoffe!$D$4:$L$75,7,FALSE),0)</f>
        <v>0</v>
      </c>
      <c r="I30" s="29">
        <f t="shared" si="1"/>
        <v>0</v>
      </c>
      <c r="J30" s="238"/>
      <c r="K30" s="499" t="s">
        <v>399</v>
      </c>
      <c r="L30" s="159" t="str">
        <f>IFERROR(IF(Produktion!$C$11=0,'THG-Emissionen ohne Zertifikat'!F89,'THG-Emissionen mit Zertifikat'!E61),0)</f>
        <v>[Bitte auswählen]</v>
      </c>
      <c r="M30" s="943">
        <f>IFERROR(IF(Produktion!$C$11=0,'THG-Emissionen ohne Zertifikat'!G89,'THG-Emissionen mit Zertifikat'!F61),0)</f>
        <v>0</v>
      </c>
      <c r="N30" s="603" t="str">
        <f>IFERROR(VLOOKUP(L30,Emissionsfaktoren_Prozesse!$D$108:$F$156,3,FALSE),"")</f>
        <v/>
      </c>
      <c r="O30" s="603">
        <f>IFERROR(VLOOKUP(L30,Emissionsfaktoren_Prozesse!$D$108:$N$156,11,FALSE),0)</f>
        <v>0</v>
      </c>
      <c r="P30" s="158">
        <f>IFERROR(O30*M30/$L$5*(IF(Produktion!$C$11=0,'THG-Emissionen ohne Zertifikat'!I89,'THG-Emissionen mit Zertifikat'!H61)),0)</f>
        <v>0</v>
      </c>
      <c r="Q30" s="603">
        <f>IFERROR(VLOOKUP(L30,Emissionsfaktoren_Prozesse!$D$108:$Q$156,14,FALSE),0)</f>
        <v>0</v>
      </c>
      <c r="R30" s="948">
        <f t="shared" si="3"/>
        <v>0</v>
      </c>
    </row>
    <row r="31" spans="2:18">
      <c r="B31" s="31"/>
      <c r="C31" s="32" t="s">
        <v>128</v>
      </c>
      <c r="D31" s="34"/>
      <c r="E31" s="34" t="str">
        <f>IFERROR(VLOOKUP(C31,Emissionsfaktoren_Stoffe!$D$4:$L$75,9,FALSE),"")</f>
        <v/>
      </c>
      <c r="F31" s="34">
        <f>IFERROR(VLOOKUP(H30,Emissionsfaktoren_Stoffe!$D$4:$L$75,5,FALSE),0)</f>
        <v>0</v>
      </c>
      <c r="G31" s="34">
        <f t="shared" si="0"/>
        <v>0</v>
      </c>
      <c r="H31" s="34">
        <f>IFERROR(VLOOKUP(H30,Emissionsfaktoren_Stoffe!$D$4:$L$75,7,FALSE),0)</f>
        <v>0</v>
      </c>
      <c r="I31" s="34">
        <f t="shared" si="1"/>
        <v>0</v>
      </c>
      <c r="J31" s="247"/>
      <c r="K31" s="32"/>
      <c r="L31" s="32"/>
      <c r="M31" s="34"/>
      <c r="N31" s="34"/>
      <c r="O31" s="34"/>
      <c r="P31" s="34"/>
      <c r="Q31" s="34"/>
      <c r="R31" s="35"/>
    </row>
  </sheetData>
  <mergeCells count="1">
    <mergeCell ref="K2:P2"/>
  </mergeCells>
  <phoneticPr fontId="36" type="noConversion"/>
  <hyperlinks>
    <hyperlink ref="O5" location="'Aufbau LCC-CO2-Tool'!A1" display="zurück zur Übersicht" xr:uid="{E61CA936-386F-4E50-B202-2241234AC5F3}"/>
    <hyperlink ref="O6" location="'Anleitung für Beschaffende'!A47" display="zurück zur Anleitung für Beschaffende " xr:uid="{3C8D1C00-33D0-443B-9613-85A5BE529AAF}"/>
    <hyperlink ref="O7" location="'Anleitung für Bietende'!A44" display="zurück zur Anleitung für Bietende" xr:uid="{8062BFA8-A61F-4A96-B8AB-88376A0DE574}"/>
  </hyperlinks>
  <pageMargins left="0.70866141732283472" right="0.70866141732283472" top="0.74803149606299213" bottom="0.74803149606299213" header="0.31496062992125984" footer="0.31496062992125984"/>
  <pageSetup paperSize="9" orientation="portrait" horizontalDpi="1200" verticalDpi="1200" r:id="rId1"/>
  <headerFooter>
    <oddHeader>&amp;C&amp;14&amp;KFF0000TESTVERSION!</oddHeader>
    <oddFooter>&amp;L&amp;8LCC-CO2-Tool - Arbeitshilfe des Umweltbundesamtes&amp;C&amp;8Hintergrundberechnungen Transport + Installation&amp;R&amp;8&amp;P</oddFooter>
  </headerFooter>
  <drawing r:id="rId2"/>
  <legacyDrawing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C00-000000000000}">
          <x14:formula1>
            <xm:f>Emissionsfaktoren_Stoffe!$D$3:$D$75</xm:f>
          </x14:formula1>
          <xm:sqref>C14:C31</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3">
    <tabColor rgb="FFF1A0BD"/>
  </sheetPr>
  <dimension ref="B1:L33"/>
  <sheetViews>
    <sheetView showGridLines="0" topLeftCell="A14" zoomScaleNormal="100" workbookViewId="0">
      <selection activeCell="C25" sqref="C25"/>
    </sheetView>
  </sheetViews>
  <sheetFormatPr baseColWidth="10" defaultColWidth="8" defaultRowHeight="14.5"/>
  <cols>
    <col min="1" max="1" width="3.33203125" style="7" customWidth="1"/>
    <col min="2" max="2" width="27.6640625" style="7" customWidth="1"/>
    <col min="3" max="3" width="18.75" style="7" customWidth="1"/>
    <col min="4" max="4" width="18.25" style="7" bestFit="1" customWidth="1"/>
    <col min="5" max="5" width="14.25" style="7" bestFit="1" customWidth="1"/>
    <col min="6" max="6" width="14.08203125" style="7" bestFit="1" customWidth="1"/>
    <col min="7" max="7" width="14.25" style="7" customWidth="1"/>
    <col min="8" max="8" width="17.83203125" style="7" customWidth="1"/>
    <col min="9" max="9" width="17.25" style="7" customWidth="1"/>
    <col min="10" max="10" width="14.75" style="7" bestFit="1" customWidth="1"/>
    <col min="11" max="11" width="11.08203125" style="7" customWidth="1"/>
    <col min="12" max="16384" width="8" style="7"/>
  </cols>
  <sheetData>
    <row r="1" spans="2:11" ht="16" customHeight="1"/>
    <row r="2" spans="2:11" ht="18.5">
      <c r="B2" s="1017" t="s">
        <v>1927</v>
      </c>
      <c r="C2" s="1017"/>
      <c r="D2" s="1017"/>
      <c r="E2" s="1017"/>
      <c r="F2" s="1017"/>
      <c r="G2" s="1017"/>
      <c r="H2" s="1017"/>
    </row>
    <row r="3" spans="2:11">
      <c r="B3" s="14"/>
      <c r="C3" s="14"/>
    </row>
    <row r="4" spans="2:11">
      <c r="B4" s="15"/>
      <c r="C4" s="863" t="s">
        <v>353</v>
      </c>
      <c r="D4" s="21" t="s">
        <v>1782</v>
      </c>
    </row>
    <row r="5" spans="2:11" ht="37">
      <c r="B5" s="864" t="s">
        <v>1784</v>
      </c>
      <c r="C5" s="949">
        <f>Produktion!C5</f>
        <v>100</v>
      </c>
      <c r="D5" s="848" t="str">
        <f>Produktion!D5</f>
        <v>Arbeitsplatzcomputer, Variante Desktop-PC 3 Jahre</v>
      </c>
      <c r="F5" s="996" t="s">
        <v>1886</v>
      </c>
    </row>
    <row r="6" spans="2:11" ht="18.5">
      <c r="B6" s="37"/>
      <c r="F6" s="996" t="s">
        <v>1887</v>
      </c>
    </row>
    <row r="7" spans="2:11">
      <c r="B7" s="15"/>
      <c r="C7" s="863" t="s">
        <v>353</v>
      </c>
      <c r="D7" s="21" t="s">
        <v>228</v>
      </c>
      <c r="F7" s="996" t="s">
        <v>1888</v>
      </c>
    </row>
    <row r="8" spans="2:11" ht="15.5">
      <c r="B8" s="851" t="s">
        <v>1909</v>
      </c>
      <c r="C8" s="600">
        <f>IFERROR(IF(Produktion!$C$11=0,'THG-Emissionen ohne Zertifikat'!F97,'THG-Emissionen mit Zertifikat'!E68),0)</f>
        <v>10</v>
      </c>
      <c r="D8" s="600" t="str">
        <f>IFERROR(IF(Produktion!$C$11=0,'THG-Emissionen ohne Zertifikat'!G97,'THG-Emissionen mit Zertifikat'!F68),0)</f>
        <v xml:space="preserve">Jahr(e) </v>
      </c>
    </row>
    <row r="9" spans="2:11" ht="15.5">
      <c r="B9" s="851" t="s">
        <v>400</v>
      </c>
      <c r="C9" s="600">
        <f>IFERROR(IF(Produktion!$C$11=0,'THG-Emissionen ohne Zertifikat'!F98,'THG-Emissionen mit Zertifikat'!E69),0)</f>
        <v>1218</v>
      </c>
      <c r="D9" s="600" t="str">
        <f>IFERROR(IF(Produktion!$C$11=0,'THG-Emissionen ohne Zertifikat'!G98,'THG-Emissionen mit Zertifikat'!F69),0)</f>
        <v>Stunden</v>
      </c>
    </row>
    <row r="10" spans="2:11" ht="15.5">
      <c r="B10" s="852" t="s">
        <v>401</v>
      </c>
      <c r="C10" s="847">
        <f>IFERROR(IF(Produktion!$C$11=0,'THG-Emissionen ohne Zertifikat'!F99,'THG-Emissionen mit Zertifikat'!E70),0)</f>
        <v>12180</v>
      </c>
      <c r="D10" s="847" t="str">
        <f>IFERROR(IF(Produktion!$C$11=0,'THG-Emissionen ohne Zertifikat'!G99,'THG-Emissionen mit Zertifikat'!F70),0)</f>
        <v>Stunden</v>
      </c>
    </row>
    <row r="11" spans="2:11">
      <c r="B11" s="14"/>
      <c r="C11" s="14"/>
      <c r="D11" s="14"/>
    </row>
    <row r="12" spans="2:11" ht="16.5">
      <c r="B12" s="19"/>
      <c r="C12" s="20" t="s">
        <v>379</v>
      </c>
      <c r="D12" s="21" t="s">
        <v>354</v>
      </c>
    </row>
    <row r="13" spans="2:11" ht="37">
      <c r="B13" s="44" t="s">
        <v>1783</v>
      </c>
      <c r="C13" s="950">
        <f>SUM(I25:I32)+SUM(I18:I20)</f>
        <v>310.64263148520007</v>
      </c>
      <c r="D13" s="545">
        <f>SUM(J25:J32)</f>
        <v>0</v>
      </c>
    </row>
    <row r="14" spans="2:11">
      <c r="B14" s="14"/>
      <c r="C14" s="14"/>
    </row>
    <row r="15" spans="2:11">
      <c r="B15" s="36" t="s">
        <v>1928</v>
      </c>
      <c r="C15" s="16"/>
      <c r="D15" s="16"/>
      <c r="E15" s="16"/>
      <c r="F15" s="16"/>
      <c r="G15" s="16"/>
      <c r="H15" s="16"/>
      <c r="I15" s="16"/>
      <c r="J15" s="16"/>
      <c r="K15" s="17"/>
    </row>
    <row r="16" spans="2:11">
      <c r="B16" s="23"/>
      <c r="K16" s="24"/>
    </row>
    <row r="17" spans="2:12" ht="16.5">
      <c r="B17" s="26" t="s">
        <v>359</v>
      </c>
      <c r="C17" s="27" t="s">
        <v>287</v>
      </c>
      <c r="D17" s="77" t="s">
        <v>402</v>
      </c>
      <c r="E17" s="602" t="s">
        <v>228</v>
      </c>
      <c r="F17" s="77" t="s">
        <v>403</v>
      </c>
      <c r="G17" s="602" t="s">
        <v>404</v>
      </c>
      <c r="H17" s="77" t="s">
        <v>362</v>
      </c>
      <c r="I17" s="77" t="s">
        <v>384</v>
      </c>
      <c r="J17" s="77" t="s">
        <v>364</v>
      </c>
      <c r="K17" s="120" t="s">
        <v>365</v>
      </c>
    </row>
    <row r="18" spans="2:12">
      <c r="B18" s="23"/>
      <c r="C18" s="159" t="str">
        <f>IF(Produktion!$C$11=0,'THG-Emissionen ohne Zertifikat'!F102,'THG-Emissionen mit Zertifikat'!E73)</f>
        <v>Strommix_DE_kWh</v>
      </c>
      <c r="D18" s="865">
        <f>IFERROR(IF(Produktion!$C$11=0,'THG-Emissionen ohne Zertifikat'!G102,'THG-Emissionen mit Zertifikat'!F73),0)</f>
        <v>39.451020000000007</v>
      </c>
      <c r="E18" s="159" t="str">
        <f>IFERROR(VLOOKUP(C18,Emissionsfaktoren_Prozesse!$E$4:$F$103,2,FALSE),"")</f>
        <v>kWh</v>
      </c>
      <c r="F18" s="865">
        <f>IFERROR(IF(E18="kWh",D18,D18*VLOOKUP(C18,Emissionsfaktoren_Prozesse!$E$4:$I$103,5,FALSE)*VLOOKUP(C18,Emissionsfaktoren_Prozesse!$E$4:$G$103,3,FALSE)),0)</f>
        <v>39.451020000000007</v>
      </c>
      <c r="G18" s="159" t="str">
        <f>D10</f>
        <v>Stunden</v>
      </c>
      <c r="H18" s="849">
        <f>IFERROR(VLOOKUP(C18,Emissionsfaktoren_Prozesse!$E$4:$N$103,10,FALSE),0)</f>
        <v>0.49803399999999998</v>
      </c>
      <c r="I18" s="945">
        <f>H18*D18*$C$8</f>
        <v>196.47949294680004</v>
      </c>
      <c r="J18" s="945">
        <f>IFERROR(VLOOKUP(C18,Emissionsfaktoren_Prozesse!$E$4:$Q$103,13,FALSE),0)</f>
        <v>0</v>
      </c>
      <c r="K18" s="953">
        <f>IFERROR(J18*D18,"")</f>
        <v>0</v>
      </c>
    </row>
    <row r="19" spans="2:12">
      <c r="B19" s="23"/>
      <c r="C19" s="159" t="str">
        <f>IF(Produktion!$C$11=0,'THG-Emissionen ohne Zertifikat'!F103,'THG-Emissionen mit Zertifikat'!E74)</f>
        <v>Strommix_DE_kWh</v>
      </c>
      <c r="D19" s="865">
        <f>IFERROR(IF(Produktion!$C$11=0,'THG-Emissionen ohne Zertifikat'!G103,'THG-Emissionen mit Zertifikat'!F74),0)</f>
        <v>22.922760000000004</v>
      </c>
      <c r="E19" s="159" t="str">
        <f>IFERROR(VLOOKUP(C19,Emissionsfaktoren_Prozesse!$E$4:$F$103,2,FALSE),"")</f>
        <v>kWh</v>
      </c>
      <c r="F19" s="865">
        <f>IFERROR(IF(E19="kWh",D19,D19*VLOOKUP(C19,Emissionsfaktoren_Prozesse!$E$4:$I$103,5,FALSE)*VLOOKUP(C19,Emissionsfaktoren_Prozesse!$E$4:$G$103,3,FALSE)),0)</f>
        <v>22.922760000000004</v>
      </c>
      <c r="G19" s="159" t="str">
        <f>D10</f>
        <v>Stunden</v>
      </c>
      <c r="H19" s="849">
        <f>IFERROR(VLOOKUP(C19,Emissionsfaktoren_Prozesse!$E$4:$N$103,10,FALSE),0)</f>
        <v>0.49803399999999998</v>
      </c>
      <c r="I19" s="945">
        <f>H19*D19*$C$8</f>
        <v>114.16313853840002</v>
      </c>
      <c r="J19" s="945">
        <f>IFERROR(VLOOKUP(C19,Emissionsfaktoren_Prozesse!$E$4:$Q$103,13,FALSE),0)</f>
        <v>0</v>
      </c>
      <c r="K19" s="953">
        <f>IFERROR(J19*D19,"")</f>
        <v>0</v>
      </c>
    </row>
    <row r="20" spans="2:12">
      <c r="B20" s="31"/>
      <c r="C20" s="601" t="str">
        <f>IF(Produktion!$C$11=0,'THG-Emissionen ohne Zertifikat'!F104,'THG-Emissionen mit Zertifikat'!E75)</f>
        <v>[Bitte auswählen]</v>
      </c>
      <c r="D20" s="866">
        <f>IFERROR(IF(Produktion!$C$11=0,'THG-Emissionen ohne Zertifikat'!G104,'THG-Emissionen mit Zertifikat'!F75),0)</f>
        <v>0</v>
      </c>
      <c r="E20" s="601" t="str">
        <f>IFERROR(VLOOKUP(C20,Emissionsfaktoren_Prozesse!$E$4:$F$103,2,FALSE),"")</f>
        <v/>
      </c>
      <c r="F20" s="866">
        <f>IFERROR(IF(E20="kWh",D20,D20*VLOOKUP(C20,Emissionsfaktoren_Prozesse!$E$4:$I$103,5,FALSE)*VLOOKUP(C20,Emissionsfaktoren_Prozesse!$E$4:$G$103,3,FALSE)),0)</f>
        <v>0</v>
      </c>
      <c r="G20" s="601" t="str">
        <f>D10</f>
        <v>Stunden</v>
      </c>
      <c r="H20" s="850">
        <f>IFERROR(VLOOKUP(C20,Emissionsfaktoren_Prozesse!$E$4:$N$103,10,FALSE),0)</f>
        <v>0</v>
      </c>
      <c r="I20" s="952">
        <f t="shared" ref="I20" si="0">H20*D20*$C$8</f>
        <v>0</v>
      </c>
      <c r="J20" s="952">
        <f>IFERROR(VLOOKUP(C20,Emissionsfaktoren_Prozesse!$E$4:$Q$103,13,FALSE),0)</f>
        <v>0</v>
      </c>
      <c r="K20" s="954">
        <f>IFERROR(J20*D20,"")</f>
        <v>0</v>
      </c>
    </row>
    <row r="23" spans="2:12">
      <c r="B23" s="36" t="s">
        <v>405</v>
      </c>
      <c r="C23" s="16"/>
      <c r="D23" s="16"/>
      <c r="E23" s="16"/>
      <c r="F23" s="16"/>
      <c r="G23" s="16"/>
      <c r="H23" s="16"/>
      <c r="I23" s="16"/>
      <c r="J23" s="16"/>
      <c r="K23" s="17"/>
    </row>
    <row r="24" spans="2:12" ht="30">
      <c r="B24" s="26" t="s">
        <v>359</v>
      </c>
      <c r="C24" s="27" t="s">
        <v>406</v>
      </c>
      <c r="F24" s="28" t="s">
        <v>407</v>
      </c>
      <c r="G24" s="27" t="s">
        <v>404</v>
      </c>
      <c r="H24" s="77" t="s">
        <v>362</v>
      </c>
      <c r="I24" s="77" t="s">
        <v>384</v>
      </c>
      <c r="J24" s="27"/>
      <c r="K24" s="39"/>
      <c r="L24" s="40"/>
    </row>
    <row r="25" spans="2:12">
      <c r="B25" s="23"/>
      <c r="C25" s="159" t="str">
        <f>IFERROR(IF(Produktion!$C$11=0,'THG-Emissionen ohne Zertifikat'!F109,'THG-Emissionen mit Zertifikat'!E80),0)</f>
        <v>[Bitte auswählen]</v>
      </c>
      <c r="F25" s="159">
        <f>IFERROR(IF(Produktion!$C$11=0,'THG-Emissionen ohne Zertifikat'!G109,'THG-Emissionen mit Zertifikat'!F80),0)</f>
        <v>0</v>
      </c>
      <c r="G25" s="159" t="str">
        <f>IFERROR(VLOOKUP(C25,Emissionsfaktoren_Lebenszyklus!$C$5:$J$17,8,FALSE),"")</f>
        <v/>
      </c>
      <c r="H25" s="945">
        <f>IFERROR(IF(Produktion!$C$11=0,IFERROR(VLOOKUP(C25,Emissionsfaktoren_Lebenszyklus!$C$5:$J$17,6,FALSE),'THG-Emissionen ohne Zertifikat'!H109),IFERROR(VLOOKUP(C25,Emissionsfaktoren_Lebenszyklus!$C$5:$J$17,6,FALSE),'THG-Emissionen mit Zertifikat'!G80)),0)</f>
        <v>0</v>
      </c>
      <c r="I25" s="951">
        <f t="shared" ref="I25:I32" si="1">IFERROR(H25*F25,0)</f>
        <v>0</v>
      </c>
      <c r="K25" s="41"/>
      <c r="L25" s="42"/>
    </row>
    <row r="26" spans="2:12">
      <c r="B26" s="23"/>
      <c r="C26" s="159" t="str">
        <f>IFERROR(IF(Produktion!$C$11=0,'THG-Emissionen ohne Zertifikat'!F111,'THG-Emissionen mit Zertifikat'!E82),0)</f>
        <v>[Bitte auswählen]</v>
      </c>
      <c r="F26" s="159">
        <f>IFERROR(IF(Produktion!$C$11=0,'THG-Emissionen ohne Zertifikat'!G111,'THG-Emissionen mit Zertifikat'!F82),0)</f>
        <v>0</v>
      </c>
      <c r="G26" s="159" t="str">
        <f>IFERROR(VLOOKUP(C26,Emissionsfaktoren_Lebenszyklus!$C$5:$J$17,8,FALSE),"")</f>
        <v/>
      </c>
      <c r="H26" s="945">
        <f>IFERROR(IF(Produktion!$C$11=0,IFERROR(VLOOKUP(C26,Emissionsfaktoren_Lebenszyklus!$C$5:$J$17,6,FALSE),'THG-Emissionen ohne Zertifikat'!H111),IFERROR(VLOOKUP(C26,Emissionsfaktoren_Lebenszyklus!$C$5:$J$17,6,FALSE),'THG-Emissionen mit Zertifikat'!G82)),0)</f>
        <v>0</v>
      </c>
      <c r="I26" s="951">
        <f t="shared" si="1"/>
        <v>0</v>
      </c>
      <c r="K26" s="41"/>
      <c r="L26" s="42"/>
    </row>
    <row r="27" spans="2:12">
      <c r="B27" s="23"/>
      <c r="C27" s="159" t="str">
        <f>IFERROR(IF(Produktion!$C$11=0,'THG-Emissionen ohne Zertifikat'!F113,'THG-Emissionen mit Zertifikat'!E84),0)</f>
        <v>[Bitte auswählen]</v>
      </c>
      <c r="F27" s="159">
        <f>IFERROR(IF(Produktion!$C$11=0,'THG-Emissionen ohne Zertifikat'!G113,'THG-Emissionen mit Zertifikat'!F84),0)</f>
        <v>0</v>
      </c>
      <c r="G27" s="159" t="str">
        <f>IFERROR(VLOOKUP(C27,Emissionsfaktoren_Lebenszyklus!$C$5:$J$17,8,FALSE),"")</f>
        <v/>
      </c>
      <c r="H27" s="945">
        <f>IFERROR(IF(Produktion!$C$11=0,IFERROR(VLOOKUP(C27,Emissionsfaktoren_Lebenszyklus!$C$5:$J$17,6,FALSE),'THG-Emissionen ohne Zertifikat'!H113),IFERROR(VLOOKUP(C27,Emissionsfaktoren_Lebenszyklus!$C$5:$J$17,6,FALSE),'THG-Emissionen mit Zertifikat'!G84)),0)</f>
        <v>0</v>
      </c>
      <c r="I27" s="951">
        <f t="shared" si="1"/>
        <v>0</v>
      </c>
      <c r="K27" s="41"/>
      <c r="L27" s="42"/>
    </row>
    <row r="28" spans="2:12">
      <c r="B28" s="23"/>
      <c r="C28" s="159" t="str">
        <f>IFERROR(IF(Produktion!$C$11=0,'THG-Emissionen ohne Zertifikat'!F115,'THG-Emissionen mit Zertifikat'!E86),0)</f>
        <v>[Bitte auswählen]</v>
      </c>
      <c r="F28" s="159">
        <f>IFERROR(IF(Produktion!$C$11=0,'THG-Emissionen ohne Zertifikat'!G115,'THG-Emissionen mit Zertifikat'!F86),0)</f>
        <v>0</v>
      </c>
      <c r="G28" s="159" t="str">
        <f>IFERROR(VLOOKUP(C28,Emissionsfaktoren_Lebenszyklus!$C$5:$J$17,8,FALSE),"")</f>
        <v/>
      </c>
      <c r="H28" s="945">
        <f>IFERROR(IF(Produktion!$C$11=0,IFERROR(VLOOKUP(C28,Emissionsfaktoren_Lebenszyklus!$C$5:$J$17,6,FALSE),'THG-Emissionen ohne Zertifikat'!H115),IFERROR(VLOOKUP(C28,Emissionsfaktoren_Lebenszyklus!$C$5:$J$17,6,FALSE),'THG-Emissionen mit Zertifikat'!G86)),0)</f>
        <v>0</v>
      </c>
      <c r="I28" s="951">
        <f t="shared" si="1"/>
        <v>0</v>
      </c>
      <c r="K28" s="41"/>
      <c r="L28" s="42"/>
    </row>
    <row r="29" spans="2:12">
      <c r="B29" s="23"/>
      <c r="C29" s="159" t="str">
        <f>IFERROR(IF(Produktion!$C$11=0,'THG-Emissionen ohne Zertifikat'!F117,'THG-Emissionen mit Zertifikat'!E88),0)</f>
        <v>[Bitte auswählen]</v>
      </c>
      <c r="F29" s="159">
        <f>IFERROR(IF(Produktion!$C$11=0,'THG-Emissionen ohne Zertifikat'!G117,'THG-Emissionen mit Zertifikat'!F88),0)</f>
        <v>0</v>
      </c>
      <c r="G29" s="159" t="str">
        <f>IFERROR(VLOOKUP(C29,Emissionsfaktoren_Lebenszyklus!$C$5:$J$17,8,FALSE),"")</f>
        <v/>
      </c>
      <c r="H29" s="945">
        <f>IFERROR(IF(Produktion!$C$11=0,IFERROR(VLOOKUP(C29,Emissionsfaktoren_Lebenszyklus!$C$5:$J$17,6,FALSE),'THG-Emissionen ohne Zertifikat'!H117),IFERROR(VLOOKUP(C29,Emissionsfaktoren_Lebenszyklus!$C$5:$J$17,6,FALSE),'THG-Emissionen mit Zertifikat'!G88)),0)</f>
        <v>0</v>
      </c>
      <c r="I29" s="951">
        <f t="shared" si="1"/>
        <v>0</v>
      </c>
      <c r="J29" s="6"/>
      <c r="K29" s="41"/>
      <c r="L29" s="42"/>
    </row>
    <row r="30" spans="2:12">
      <c r="B30" s="23"/>
      <c r="C30" s="159" t="str">
        <f>IFERROR(IF(Produktion!$C$11=0,'THG-Emissionen ohne Zertifikat'!F119,'THG-Emissionen mit Zertifikat'!E90),0)</f>
        <v>[Bitte auswählen]</v>
      </c>
      <c r="F30" s="159">
        <f>IFERROR(IF(Produktion!$C$11=0,'THG-Emissionen ohne Zertifikat'!G119,'THG-Emissionen mit Zertifikat'!F90),0)</f>
        <v>0</v>
      </c>
      <c r="G30" s="159" t="str">
        <f>IFERROR(VLOOKUP(C30,Emissionsfaktoren_Lebenszyklus!$C$5:$J$17,8,FALSE),"")</f>
        <v/>
      </c>
      <c r="H30" s="945">
        <f>IFERROR(IF(Produktion!$C$11=0,IFERROR(VLOOKUP(C30,Emissionsfaktoren_Lebenszyklus!$C$5:$J$17,6,FALSE),'THG-Emissionen ohne Zertifikat'!H119),IFERROR(VLOOKUP(C30,Emissionsfaktoren_Lebenszyklus!$C$5:$J$17,6,FALSE),'THG-Emissionen mit Zertifikat'!G90)),0)</f>
        <v>0</v>
      </c>
      <c r="I30" s="951">
        <f t="shared" si="1"/>
        <v>0</v>
      </c>
      <c r="K30" s="41"/>
      <c r="L30" s="42"/>
    </row>
    <row r="31" spans="2:12">
      <c r="B31" s="23"/>
      <c r="C31" s="159" t="str">
        <f>IFERROR(IF(Produktion!$C$11=0,'THG-Emissionen ohne Zertifikat'!F121,'THG-Emissionen mit Zertifikat'!E92),0)</f>
        <v>[Bitte auswählen]</v>
      </c>
      <c r="F31" s="159">
        <f>IFERROR(IF(Produktion!$C$11=0,'THG-Emissionen ohne Zertifikat'!G121,'THG-Emissionen mit Zertifikat'!F92),0)</f>
        <v>0</v>
      </c>
      <c r="G31" s="159" t="str">
        <f>IFERROR(VLOOKUP(C31,Emissionsfaktoren_Lebenszyklus!$C$5:$J$17,8,FALSE),"")</f>
        <v/>
      </c>
      <c r="H31" s="945">
        <f>IFERROR(IF(Produktion!$C$11=0,IFERROR(VLOOKUP(C31,Emissionsfaktoren_Lebenszyklus!$C$5:$J$17,6,FALSE),'THG-Emissionen ohne Zertifikat'!H121),IFERROR(VLOOKUP(C31,Emissionsfaktoren_Lebenszyklus!$C$5:$J$17,6,FALSE),'THG-Emissionen mit Zertifikat'!G92)),0)</f>
        <v>0</v>
      </c>
      <c r="I31" s="951">
        <f t="shared" si="1"/>
        <v>0</v>
      </c>
      <c r="K31" s="41"/>
      <c r="L31" s="42"/>
    </row>
    <row r="32" spans="2:12">
      <c r="B32" s="23"/>
      <c r="C32" s="159" t="str">
        <f>IFERROR(IF(Produktion!$C$11=0,'THG-Emissionen ohne Zertifikat'!F123,'THG-Emissionen mit Zertifikat'!E94),0)</f>
        <v>[Bitte auswählen]</v>
      </c>
      <c r="F32" s="159">
        <f>IFERROR(IF(Produktion!$C$11=0,'THG-Emissionen ohne Zertifikat'!G123,'THG-Emissionen mit Zertifikat'!F94),0)</f>
        <v>0</v>
      </c>
      <c r="G32" s="159" t="str">
        <f>IFERROR(VLOOKUP(C32,Emissionsfaktoren_Lebenszyklus!$C$5:$J$17,8,FALSE),"")</f>
        <v/>
      </c>
      <c r="H32" s="945">
        <f>IFERROR(IF(Produktion!$C$11=0,IFERROR(VLOOKUP(C32,Emissionsfaktoren_Lebenszyklus!$C$5:$J$17,6,FALSE),'THG-Emissionen ohne Zertifikat'!H123),IFERROR(VLOOKUP(C32,Emissionsfaktoren_Lebenszyklus!$C$5:$J$17,6,FALSE),'THG-Emissionen mit Zertifikat'!G94)),0)</f>
        <v>0</v>
      </c>
      <c r="I32" s="951">
        <f t="shared" si="1"/>
        <v>0</v>
      </c>
      <c r="K32" s="41"/>
      <c r="L32" s="42"/>
    </row>
    <row r="33" spans="2:11">
      <c r="B33" s="31"/>
      <c r="C33" s="32"/>
      <c r="D33" s="32"/>
      <c r="E33" s="32"/>
      <c r="F33" s="32"/>
      <c r="G33" s="38"/>
      <c r="H33" s="32"/>
      <c r="I33" s="32"/>
      <c r="J33" s="32"/>
      <c r="K33" s="33"/>
    </row>
  </sheetData>
  <mergeCells count="1">
    <mergeCell ref="B2:H2"/>
  </mergeCells>
  <hyperlinks>
    <hyperlink ref="F5" location="'Aufbau LCC-CO2-Tool'!A1" display="zurück zur Übersicht" xr:uid="{F380C6AF-FC4B-4FC5-B805-C0B02145B486}"/>
    <hyperlink ref="F6" location="'Anleitung für Beschaffende'!A47" display="zurück zur Anleitung für Beschaffende " xr:uid="{49B0001F-A055-41D6-9048-3E71C5F89AA0}"/>
    <hyperlink ref="F7" location="'Anleitung für Bietende'!A44" display="zurück zur Anleitung für Bietende" xr:uid="{5BF5CF71-C4BB-4CB5-8392-764E1FAED721}"/>
  </hyperlinks>
  <pageMargins left="0.70866141732283472" right="0.70866141732283472" top="0.74803149606299213" bottom="0.74803149606299213" header="0.31496062992125984" footer="0.31496062992125984"/>
  <pageSetup paperSize="9" orientation="portrait" r:id="rId1"/>
  <headerFooter>
    <oddHeader>&amp;C&amp;14&amp;KFF0000TESTVERSION!</oddHeader>
    <oddFooter>&amp;L&amp;8LCC-CO2-Tool - Arbeitshilfe des Umweltbundesamtes&amp;C&amp;8Hintergrundberechnungen Nutzung&amp;R&amp;8&amp;P</oddFooter>
  </headerFooter>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4">
    <tabColor theme="0"/>
  </sheetPr>
  <dimension ref="A1:P453"/>
  <sheetViews>
    <sheetView showGridLines="0" zoomScale="90" zoomScaleNormal="90" workbookViewId="0">
      <pane ySplit="2" topLeftCell="A48" activePane="bottomLeft" state="frozen"/>
      <selection pane="bottomLeft" activeCell="D51" sqref="D51"/>
    </sheetView>
  </sheetViews>
  <sheetFormatPr baseColWidth="10" defaultColWidth="8" defaultRowHeight="14.5"/>
  <cols>
    <col min="1" max="1" width="2.08203125" style="2" customWidth="1"/>
    <col min="2" max="2" width="2.58203125" style="2" customWidth="1"/>
    <col min="3" max="3" width="49.33203125" style="2" customWidth="1"/>
    <col min="4" max="4" width="43.75" style="2" bestFit="1" customWidth="1"/>
    <col min="5" max="7" width="15.08203125" style="2" customWidth="1"/>
    <col min="8" max="8" width="8" style="2"/>
    <col min="9" max="9" width="9" style="2" customWidth="1"/>
    <col min="10" max="10" width="9.08203125" style="2" bestFit="1" customWidth="1"/>
    <col min="11" max="11" width="9.58203125" style="2" customWidth="1"/>
    <col min="12" max="12" width="14.25" style="2" customWidth="1"/>
    <col min="13" max="13" width="85.08203125" style="45" customWidth="1"/>
    <col min="14" max="14" width="31.58203125" style="2" customWidth="1"/>
    <col min="15" max="16384" width="8" style="2"/>
  </cols>
  <sheetData>
    <row r="1" spans="3:16" ht="66.650000000000006" customHeight="1">
      <c r="C1" s="95" t="s">
        <v>408</v>
      </c>
    </row>
    <row r="2" spans="3:16" ht="15.5">
      <c r="C2" s="113" t="s">
        <v>409</v>
      </c>
      <c r="D2" s="113" t="s">
        <v>410</v>
      </c>
      <c r="E2" s="113" t="s">
        <v>411</v>
      </c>
      <c r="F2" s="113" t="s">
        <v>412</v>
      </c>
      <c r="G2" s="113" t="s">
        <v>413</v>
      </c>
      <c r="H2" s="114" t="s">
        <v>414</v>
      </c>
      <c r="I2" s="113" t="s">
        <v>228</v>
      </c>
      <c r="J2" s="114" t="s">
        <v>346</v>
      </c>
      <c r="K2" s="113" t="s">
        <v>415</v>
      </c>
      <c r="L2" s="113" t="s">
        <v>416</v>
      </c>
      <c r="M2" s="115" t="s">
        <v>229</v>
      </c>
      <c r="N2" s="353" t="s">
        <v>417</v>
      </c>
    </row>
    <row r="3" spans="3:16" hidden="1">
      <c r="C3" s="2" t="s">
        <v>128</v>
      </c>
      <c r="D3" s="2" t="s">
        <v>128</v>
      </c>
    </row>
    <row r="4" spans="3:16" ht="32.5">
      <c r="C4" s="361" t="s">
        <v>418</v>
      </c>
      <c r="D4" s="361" t="s">
        <v>419</v>
      </c>
      <c r="E4" s="361"/>
      <c r="F4" s="361"/>
      <c r="G4" s="361"/>
      <c r="H4" s="546">
        <v>843</v>
      </c>
      <c r="I4" s="361" t="s">
        <v>420</v>
      </c>
      <c r="J4" s="361">
        <v>0</v>
      </c>
      <c r="K4" s="361" t="s">
        <v>421</v>
      </c>
      <c r="L4" s="361" t="s">
        <v>422</v>
      </c>
      <c r="M4" s="45" t="s">
        <v>423</v>
      </c>
      <c r="P4" s="996" t="s">
        <v>1886</v>
      </c>
    </row>
    <row r="5" spans="3:16">
      <c r="C5" s="361" t="s">
        <v>424</v>
      </c>
      <c r="D5" s="361" t="s">
        <v>425</v>
      </c>
      <c r="E5" s="361"/>
      <c r="F5" s="361"/>
      <c r="G5" s="361"/>
      <c r="H5" s="546">
        <v>3.0517370000000001</v>
      </c>
      <c r="I5" s="361" t="s">
        <v>420</v>
      </c>
      <c r="J5" s="361"/>
      <c r="K5" s="361"/>
      <c r="L5" s="361" t="s">
        <v>247</v>
      </c>
      <c r="M5" s="45" t="s">
        <v>426</v>
      </c>
      <c r="P5" s="996" t="s">
        <v>1887</v>
      </c>
    </row>
    <row r="6" spans="3:16">
      <c r="C6" s="361" t="s">
        <v>427</v>
      </c>
      <c r="D6" s="361" t="s">
        <v>427</v>
      </c>
      <c r="E6" s="361"/>
      <c r="F6" s="361"/>
      <c r="G6" s="361"/>
      <c r="H6" s="546">
        <v>11.904</v>
      </c>
      <c r="I6" s="361" t="s">
        <v>420</v>
      </c>
      <c r="J6" s="361"/>
      <c r="K6" s="361"/>
      <c r="L6" s="361" t="s">
        <v>247</v>
      </c>
      <c r="M6" s="46" t="s">
        <v>428</v>
      </c>
      <c r="P6" s="996" t="s">
        <v>1888</v>
      </c>
    </row>
    <row r="7" spans="3:16" ht="22">
      <c r="C7" s="361" t="s">
        <v>429</v>
      </c>
      <c r="D7" s="361" t="s">
        <v>429</v>
      </c>
      <c r="E7" s="361"/>
      <c r="F7" s="361"/>
      <c r="G7" s="361"/>
      <c r="H7" s="546">
        <v>8.4</v>
      </c>
      <c r="I7" s="361" t="s">
        <v>420</v>
      </c>
      <c r="J7" s="361">
        <v>136</v>
      </c>
      <c r="K7" s="361" t="s">
        <v>421</v>
      </c>
      <c r="L7" s="361" t="s">
        <v>247</v>
      </c>
      <c r="M7" s="45" t="s">
        <v>430</v>
      </c>
    </row>
    <row r="8" spans="3:16" ht="32.5">
      <c r="C8" s="361" t="s">
        <v>431</v>
      </c>
      <c r="D8" s="361" t="s">
        <v>432</v>
      </c>
      <c r="E8" s="361"/>
      <c r="F8" s="361"/>
      <c r="G8" s="361"/>
      <c r="H8" s="4">
        <v>4.3999999999999997E-2</v>
      </c>
      <c r="I8" s="361" t="s">
        <v>420</v>
      </c>
      <c r="J8" s="361">
        <v>3.56</v>
      </c>
      <c r="K8" s="361" t="s">
        <v>421</v>
      </c>
      <c r="L8" s="361" t="s">
        <v>247</v>
      </c>
      <c r="M8" s="202" t="s">
        <v>433</v>
      </c>
    </row>
    <row r="9" spans="3:16">
      <c r="C9" s="361" t="s">
        <v>434</v>
      </c>
      <c r="D9" s="361" t="s">
        <v>434</v>
      </c>
      <c r="E9" s="361">
        <v>3.9399999999999998E-2</v>
      </c>
      <c r="F9" s="361"/>
      <c r="G9" s="361"/>
      <c r="H9" s="4">
        <v>0.04</v>
      </c>
      <c r="I9" s="361" t="s">
        <v>420</v>
      </c>
      <c r="J9" s="361"/>
      <c r="K9" s="361"/>
      <c r="L9" s="361" t="s">
        <v>247</v>
      </c>
      <c r="M9" s="104" t="s">
        <v>435</v>
      </c>
    </row>
    <row r="10" spans="3:16" ht="53.5">
      <c r="C10" s="361" t="s">
        <v>436</v>
      </c>
      <c r="D10" s="361" t="s">
        <v>437</v>
      </c>
      <c r="E10" s="361"/>
      <c r="F10" s="361"/>
      <c r="G10" s="361"/>
      <c r="H10" s="4">
        <v>0.16</v>
      </c>
      <c r="I10" s="361" t="s">
        <v>420</v>
      </c>
      <c r="J10" s="361">
        <v>0.94</v>
      </c>
      <c r="K10" s="361" t="s">
        <v>421</v>
      </c>
      <c r="L10" s="361" t="s">
        <v>247</v>
      </c>
      <c r="M10" s="202" t="s">
        <v>438</v>
      </c>
    </row>
    <row r="11" spans="3:16">
      <c r="C11" s="361" t="s">
        <v>439</v>
      </c>
      <c r="D11" s="361" t="s">
        <v>439</v>
      </c>
      <c r="E11" s="361"/>
      <c r="F11" s="361"/>
      <c r="G11" s="361"/>
      <c r="H11" s="4">
        <v>0.19</v>
      </c>
      <c r="I11" s="361" t="s">
        <v>420</v>
      </c>
      <c r="J11" s="546">
        <v>42.4</v>
      </c>
      <c r="K11" s="361" t="s">
        <v>421</v>
      </c>
      <c r="L11" s="361" t="s">
        <v>247</v>
      </c>
      <c r="M11" s="202" t="s">
        <v>440</v>
      </c>
    </row>
    <row r="12" spans="3:16" ht="22">
      <c r="C12" s="361" t="s">
        <v>441</v>
      </c>
      <c r="D12" s="361" t="s">
        <v>441</v>
      </c>
      <c r="E12" s="361"/>
      <c r="F12" s="361"/>
      <c r="G12" s="361"/>
      <c r="H12" s="4">
        <v>4.1000000000000002E-2</v>
      </c>
      <c r="I12" s="361" t="s">
        <v>420</v>
      </c>
      <c r="J12" s="361">
        <v>2.4700000000000002</v>
      </c>
      <c r="K12" s="361" t="s">
        <v>421</v>
      </c>
      <c r="L12" s="361" t="s">
        <v>247</v>
      </c>
      <c r="M12" s="45" t="s">
        <v>442</v>
      </c>
    </row>
    <row r="13" spans="3:16">
      <c r="C13" s="361" t="s">
        <v>443</v>
      </c>
      <c r="D13" s="361" t="s">
        <v>443</v>
      </c>
      <c r="E13" s="361">
        <v>1.69</v>
      </c>
      <c r="F13" s="361"/>
      <c r="G13" s="361"/>
      <c r="H13" s="4">
        <v>1.89</v>
      </c>
      <c r="I13" s="361" t="s">
        <v>420</v>
      </c>
      <c r="J13" s="361"/>
      <c r="K13" s="361"/>
      <c r="L13" s="361" t="s">
        <v>247</v>
      </c>
      <c r="M13" s="203" t="s">
        <v>444</v>
      </c>
    </row>
    <row r="14" spans="3:16">
      <c r="C14" s="592" t="s">
        <v>1410</v>
      </c>
      <c r="D14" s="592" t="s">
        <v>1410</v>
      </c>
      <c r="E14" s="361"/>
      <c r="F14" s="361"/>
      <c r="G14" s="361"/>
      <c r="H14" s="4">
        <v>0.57999999999999996</v>
      </c>
      <c r="I14" s="361" t="s">
        <v>420</v>
      </c>
      <c r="J14" s="546">
        <v>10</v>
      </c>
      <c r="K14" s="361" t="s">
        <v>421</v>
      </c>
      <c r="L14" s="361" t="s">
        <v>247</v>
      </c>
      <c r="M14" s="45" t="s">
        <v>445</v>
      </c>
    </row>
    <row r="15" spans="3:16">
      <c r="C15" s="361" t="s">
        <v>446</v>
      </c>
      <c r="D15" s="361" t="s">
        <v>447</v>
      </c>
      <c r="E15" s="361"/>
      <c r="F15" s="361"/>
      <c r="G15" s="361"/>
      <c r="H15" s="4">
        <v>13.31</v>
      </c>
      <c r="I15" s="361" t="s">
        <v>420</v>
      </c>
      <c r="J15" s="361"/>
      <c r="K15" s="361"/>
      <c r="L15" s="361" t="s">
        <v>448</v>
      </c>
      <c r="M15" s="202" t="s">
        <v>449</v>
      </c>
    </row>
    <row r="16" spans="3:16">
      <c r="C16" s="361" t="s">
        <v>450</v>
      </c>
      <c r="D16" s="361" t="s">
        <v>451</v>
      </c>
      <c r="E16" s="361"/>
      <c r="F16" s="361"/>
      <c r="G16" s="361"/>
      <c r="H16" s="4">
        <v>0.249</v>
      </c>
      <c r="I16" s="361" t="s">
        <v>420</v>
      </c>
      <c r="J16" s="361"/>
      <c r="K16" s="361"/>
      <c r="L16" s="361" t="s">
        <v>247</v>
      </c>
      <c r="M16" s="45" t="s">
        <v>452</v>
      </c>
    </row>
    <row r="17" spans="3:13">
      <c r="C17" s="361" t="s">
        <v>453</v>
      </c>
      <c r="D17" s="361" t="s">
        <v>454</v>
      </c>
      <c r="E17" s="361"/>
      <c r="F17" s="361"/>
      <c r="G17" s="361"/>
      <c r="H17" s="4">
        <v>4.9500000000000002E-2</v>
      </c>
      <c r="I17" s="361" t="s">
        <v>420</v>
      </c>
      <c r="J17" s="361"/>
      <c r="K17" s="361"/>
      <c r="L17" s="361" t="s">
        <v>247</v>
      </c>
      <c r="M17" s="45" t="s">
        <v>455</v>
      </c>
    </row>
    <row r="18" spans="3:13">
      <c r="C18" s="361" t="s">
        <v>456</v>
      </c>
      <c r="D18" s="361" t="s">
        <v>457</v>
      </c>
      <c r="E18" s="361"/>
      <c r="F18" s="361"/>
      <c r="G18" s="361"/>
      <c r="H18" s="4">
        <v>93.8</v>
      </c>
      <c r="I18" s="361" t="s">
        <v>420</v>
      </c>
      <c r="J18" s="546">
        <v>2971</v>
      </c>
      <c r="K18" s="361" t="s">
        <v>421</v>
      </c>
      <c r="L18" s="361" t="s">
        <v>458</v>
      </c>
      <c r="M18" s="48" t="s">
        <v>459</v>
      </c>
    </row>
    <row r="19" spans="3:13">
      <c r="C19" s="361" t="s">
        <v>460</v>
      </c>
      <c r="D19" s="361" t="s">
        <v>461</v>
      </c>
      <c r="E19" s="361"/>
      <c r="F19" s="361"/>
      <c r="G19" s="361"/>
      <c r="H19" s="4">
        <v>0.249</v>
      </c>
      <c r="I19" s="361" t="s">
        <v>420</v>
      </c>
      <c r="J19" s="361"/>
      <c r="K19" s="361"/>
      <c r="L19" s="361" t="s">
        <v>247</v>
      </c>
      <c r="M19" s="46" t="s">
        <v>452</v>
      </c>
    </row>
    <row r="20" spans="3:13">
      <c r="C20" s="361" t="s">
        <v>462</v>
      </c>
      <c r="D20" s="361" t="s">
        <v>462</v>
      </c>
      <c r="E20" s="361">
        <v>0.42299999999999999</v>
      </c>
      <c r="F20" s="361"/>
      <c r="G20" s="361"/>
      <c r="H20" s="4">
        <v>3.9699999999999999E-2</v>
      </c>
      <c r="I20" s="361" t="s">
        <v>420</v>
      </c>
      <c r="J20" s="361"/>
      <c r="K20" s="361"/>
      <c r="L20" s="361" t="s">
        <v>247</v>
      </c>
      <c r="M20" s="105" t="s">
        <v>463</v>
      </c>
    </row>
    <row r="21" spans="3:13">
      <c r="C21" s="361" t="s">
        <v>464</v>
      </c>
      <c r="D21" s="361" t="s">
        <v>465</v>
      </c>
      <c r="E21" s="361">
        <v>3.43</v>
      </c>
      <c r="F21" s="361"/>
      <c r="G21" s="361"/>
      <c r="H21" s="4">
        <v>3.5</v>
      </c>
      <c r="I21" s="361" t="s">
        <v>420</v>
      </c>
      <c r="J21" s="361">
        <v>2.84</v>
      </c>
      <c r="K21" s="361" t="s">
        <v>421</v>
      </c>
      <c r="L21" s="361" t="s">
        <v>247</v>
      </c>
      <c r="M21" s="105" t="s">
        <v>466</v>
      </c>
    </row>
    <row r="22" spans="3:13">
      <c r="C22" s="361" t="s">
        <v>467</v>
      </c>
      <c r="D22" s="361" t="s">
        <v>467</v>
      </c>
      <c r="E22" s="361"/>
      <c r="F22" s="361"/>
      <c r="G22" s="361"/>
      <c r="H22" s="4">
        <v>0.98</v>
      </c>
      <c r="I22" s="361" t="s">
        <v>420</v>
      </c>
      <c r="J22" s="546">
        <v>10.1</v>
      </c>
      <c r="K22" s="361" t="s">
        <v>421</v>
      </c>
      <c r="L22" s="361" t="s">
        <v>247</v>
      </c>
      <c r="M22" s="45" t="s">
        <v>468</v>
      </c>
    </row>
    <row r="23" spans="3:13">
      <c r="C23" s="361" t="s">
        <v>469</v>
      </c>
      <c r="D23" s="361" t="s">
        <v>469</v>
      </c>
      <c r="E23" s="361">
        <v>2.04</v>
      </c>
      <c r="F23" s="361"/>
      <c r="G23" s="361"/>
      <c r="H23" s="4">
        <v>2.0299999999999998</v>
      </c>
      <c r="I23" s="361" t="s">
        <v>420</v>
      </c>
      <c r="J23" s="361"/>
      <c r="K23" s="361"/>
      <c r="L23" s="361" t="s">
        <v>247</v>
      </c>
      <c r="M23" s="105" t="s">
        <v>470</v>
      </c>
    </row>
    <row r="24" spans="3:13">
      <c r="C24" s="361" t="s">
        <v>471</v>
      </c>
      <c r="D24" s="361" t="s">
        <v>472</v>
      </c>
      <c r="E24" s="361"/>
      <c r="F24" s="361"/>
      <c r="G24" s="361"/>
      <c r="H24" s="4">
        <v>2.5</v>
      </c>
      <c r="I24" s="361" t="s">
        <v>420</v>
      </c>
      <c r="J24" s="546">
        <v>29.7</v>
      </c>
      <c r="K24" s="361" t="s">
        <v>421</v>
      </c>
      <c r="L24" s="361" t="s">
        <v>247</v>
      </c>
      <c r="M24" s="45" t="s">
        <v>473</v>
      </c>
    </row>
    <row r="25" spans="3:13">
      <c r="C25" s="361" t="s">
        <v>477</v>
      </c>
      <c r="D25" s="361" t="s">
        <v>478</v>
      </c>
      <c r="E25" s="361">
        <v>1.74</v>
      </c>
      <c r="F25" s="361"/>
      <c r="G25" s="361"/>
      <c r="H25" s="4">
        <v>1.91</v>
      </c>
      <c r="I25" s="361" t="s">
        <v>420</v>
      </c>
      <c r="J25" s="361"/>
      <c r="K25" s="361"/>
      <c r="L25" s="361" t="s">
        <v>247</v>
      </c>
      <c r="M25" s="105" t="s">
        <v>479</v>
      </c>
    </row>
    <row r="26" spans="3:13">
      <c r="C26" s="361" t="s">
        <v>480</v>
      </c>
      <c r="D26" s="361" t="s">
        <v>480</v>
      </c>
      <c r="E26" s="361"/>
      <c r="F26" s="361"/>
      <c r="G26" s="361"/>
      <c r="H26" s="4">
        <v>1.1900000000000001E-2</v>
      </c>
      <c r="I26" s="361" t="s">
        <v>420</v>
      </c>
      <c r="J26" s="361"/>
      <c r="K26" s="361"/>
      <c r="L26" s="361" t="s">
        <v>247</v>
      </c>
      <c r="M26" s="45" t="s">
        <v>481</v>
      </c>
    </row>
    <row r="27" spans="3:13">
      <c r="C27" s="361" t="s">
        <v>482</v>
      </c>
      <c r="D27" s="361" t="s">
        <v>483</v>
      </c>
      <c r="E27" s="361"/>
      <c r="F27" s="361"/>
      <c r="G27" s="361"/>
      <c r="H27" s="4">
        <f>281/2403</f>
        <v>0.1169371618809821</v>
      </c>
      <c r="I27" s="361" t="s">
        <v>420</v>
      </c>
      <c r="J27" s="546">
        <f>1306/2403</f>
        <v>0.54348730753225138</v>
      </c>
      <c r="K27" s="361" t="s">
        <v>421</v>
      </c>
      <c r="L27" s="361" t="s">
        <v>247</v>
      </c>
      <c r="M27" s="45" t="s">
        <v>484</v>
      </c>
    </row>
    <row r="28" spans="3:13" ht="22">
      <c r="C28" s="2" t="s">
        <v>485</v>
      </c>
      <c r="D28" s="2" t="s">
        <v>486</v>
      </c>
      <c r="E28" s="4"/>
      <c r="F28" s="4"/>
      <c r="G28" s="4"/>
      <c r="H28" s="4">
        <v>1.98</v>
      </c>
      <c r="I28" s="2" t="s">
        <v>420</v>
      </c>
      <c r="J28" s="4">
        <v>75.75</v>
      </c>
      <c r="K28" s="2" t="s">
        <v>421</v>
      </c>
      <c r="L28" s="2" t="s">
        <v>247</v>
      </c>
      <c r="M28" s="45" t="s">
        <v>487</v>
      </c>
    </row>
    <row r="29" spans="3:13">
      <c r="C29" s="2" t="s">
        <v>488</v>
      </c>
      <c r="D29" s="2" t="s">
        <v>489</v>
      </c>
      <c r="E29" s="4"/>
      <c r="F29" s="4"/>
      <c r="G29" s="4"/>
      <c r="H29" s="4">
        <v>1.35</v>
      </c>
      <c r="I29" s="2" t="s">
        <v>420</v>
      </c>
      <c r="J29" s="4">
        <v>23.5</v>
      </c>
      <c r="K29" s="2" t="s">
        <v>421</v>
      </c>
      <c r="L29" s="2" t="s">
        <v>247</v>
      </c>
      <c r="M29" s="45" t="s">
        <v>490</v>
      </c>
    </row>
    <row r="30" spans="3:13">
      <c r="C30" s="2" t="s">
        <v>491</v>
      </c>
      <c r="D30" s="2" t="s">
        <v>491</v>
      </c>
      <c r="E30" s="4"/>
      <c r="F30" s="4"/>
      <c r="G30" s="4"/>
      <c r="H30" s="4">
        <v>1</v>
      </c>
      <c r="I30" s="2" t="s">
        <v>420</v>
      </c>
      <c r="J30" s="4">
        <v>17</v>
      </c>
      <c r="K30" s="2" t="s">
        <v>421</v>
      </c>
      <c r="L30" s="2" t="s">
        <v>247</v>
      </c>
      <c r="M30" s="45" t="s">
        <v>492</v>
      </c>
    </row>
    <row r="31" spans="3:13">
      <c r="C31" s="2" t="s">
        <v>493</v>
      </c>
      <c r="D31" s="2" t="s">
        <v>494</v>
      </c>
      <c r="E31" s="4"/>
      <c r="F31" s="4"/>
      <c r="G31" s="4"/>
      <c r="H31" s="4">
        <v>1.54</v>
      </c>
      <c r="I31" s="2" t="s">
        <v>420</v>
      </c>
      <c r="J31" s="4">
        <v>28</v>
      </c>
      <c r="K31" s="2" t="s">
        <v>421</v>
      </c>
      <c r="L31" s="2" t="s">
        <v>247</v>
      </c>
      <c r="M31" s="45" t="s">
        <v>495</v>
      </c>
    </row>
    <row r="32" spans="3:13" ht="22">
      <c r="C32" s="2" t="s">
        <v>496</v>
      </c>
      <c r="D32" s="2" t="s">
        <v>496</v>
      </c>
      <c r="E32" s="4"/>
      <c r="F32" s="4"/>
      <c r="G32" s="4"/>
      <c r="H32" s="4">
        <v>0.7</v>
      </c>
      <c r="I32" s="2" t="s">
        <v>420</v>
      </c>
      <c r="J32" s="4">
        <v>11</v>
      </c>
      <c r="K32" s="2" t="s">
        <v>421</v>
      </c>
      <c r="L32" s="2" t="s">
        <v>247</v>
      </c>
      <c r="M32" s="45" t="s">
        <v>497</v>
      </c>
    </row>
    <row r="33" spans="3:13">
      <c r="C33" s="2" t="s">
        <v>498</v>
      </c>
      <c r="D33" s="2" t="s">
        <v>499</v>
      </c>
      <c r="E33" s="4"/>
      <c r="F33" s="4"/>
      <c r="G33" s="4"/>
      <c r="H33" s="4">
        <v>6</v>
      </c>
      <c r="I33" s="2" t="s">
        <v>420</v>
      </c>
      <c r="J33" s="4"/>
      <c r="L33" s="2" t="s">
        <v>247</v>
      </c>
      <c r="M33" s="45" t="s">
        <v>500</v>
      </c>
    </row>
    <row r="34" spans="3:13" ht="32.5">
      <c r="C34" s="507" t="s">
        <v>501</v>
      </c>
      <c r="D34" s="2" t="s">
        <v>502</v>
      </c>
      <c r="E34" s="4"/>
      <c r="F34" s="4"/>
      <c r="G34" s="4"/>
      <c r="H34" s="4">
        <v>2.81E-2</v>
      </c>
      <c r="I34" s="2" t="s">
        <v>420</v>
      </c>
      <c r="J34" s="4">
        <v>2266</v>
      </c>
      <c r="K34" s="2" t="s">
        <v>421</v>
      </c>
      <c r="L34" s="2" t="s">
        <v>247</v>
      </c>
      <c r="M34" s="45" t="s">
        <v>433</v>
      </c>
    </row>
    <row r="35" spans="3:13" ht="43">
      <c r="C35" s="2" t="s">
        <v>197</v>
      </c>
      <c r="D35" s="2" t="s">
        <v>197</v>
      </c>
      <c r="E35" s="4"/>
      <c r="F35" s="4"/>
      <c r="G35" s="4"/>
      <c r="H35" s="4">
        <v>59.2</v>
      </c>
      <c r="I35" s="2" t="s">
        <v>420</v>
      </c>
      <c r="J35" s="4">
        <v>1120</v>
      </c>
      <c r="K35" s="2" t="s">
        <v>421</v>
      </c>
      <c r="L35" s="2" t="s">
        <v>458</v>
      </c>
      <c r="M35" s="45" t="s">
        <v>503</v>
      </c>
    </row>
    <row r="36" spans="3:13" ht="22">
      <c r="C36" s="575" t="s">
        <v>1414</v>
      </c>
      <c r="D36" s="2" t="s">
        <v>504</v>
      </c>
      <c r="H36" s="4">
        <v>5.92</v>
      </c>
      <c r="I36" s="2" t="s">
        <v>420</v>
      </c>
      <c r="L36" s="2" t="s">
        <v>505</v>
      </c>
      <c r="M36" s="46" t="s">
        <v>506</v>
      </c>
    </row>
    <row r="37" spans="3:13">
      <c r="C37" s="361" t="s">
        <v>1415</v>
      </c>
      <c r="D37" s="361" t="s">
        <v>507</v>
      </c>
      <c r="E37" s="361"/>
      <c r="F37" s="361"/>
      <c r="G37" s="361"/>
      <c r="H37" s="546">
        <v>5.5</v>
      </c>
      <c r="I37" s="361" t="s">
        <v>420</v>
      </c>
      <c r="J37" s="361"/>
      <c r="K37" s="361"/>
      <c r="L37" s="361" t="s">
        <v>505</v>
      </c>
      <c r="M37" s="104" t="s">
        <v>508</v>
      </c>
    </row>
    <row r="38" spans="3:13" ht="22">
      <c r="C38" s="507" t="s">
        <v>1416</v>
      </c>
      <c r="D38" s="2" t="s">
        <v>509</v>
      </c>
      <c r="H38" s="4">
        <v>210</v>
      </c>
      <c r="I38" s="2" t="s">
        <v>420</v>
      </c>
      <c r="L38" s="2" t="s">
        <v>505</v>
      </c>
      <c r="M38" s="46" t="s">
        <v>506</v>
      </c>
    </row>
    <row r="39" spans="3:13" ht="22">
      <c r="C39" s="507" t="s">
        <v>1417</v>
      </c>
      <c r="D39" s="2" t="s">
        <v>510</v>
      </c>
      <c r="H39" s="4">
        <v>258</v>
      </c>
      <c r="I39" s="2" t="s">
        <v>420</v>
      </c>
      <c r="L39" s="2" t="s">
        <v>505</v>
      </c>
      <c r="M39" s="46" t="s">
        <v>506</v>
      </c>
    </row>
    <row r="40" spans="3:13" ht="22">
      <c r="C40" s="507" t="s">
        <v>1418</v>
      </c>
      <c r="D40" s="2" t="s">
        <v>511</v>
      </c>
      <c r="H40" s="4">
        <v>306</v>
      </c>
      <c r="I40" s="2" t="s">
        <v>420</v>
      </c>
      <c r="L40" s="2" t="s">
        <v>505</v>
      </c>
      <c r="M40" s="46" t="s">
        <v>506</v>
      </c>
    </row>
    <row r="41" spans="3:13" ht="22">
      <c r="C41" s="507" t="s">
        <v>1419</v>
      </c>
      <c r="D41" s="2" t="s">
        <v>512</v>
      </c>
      <c r="H41" s="4">
        <v>170</v>
      </c>
      <c r="I41" s="2" t="s">
        <v>420</v>
      </c>
      <c r="L41" s="2" t="s">
        <v>505</v>
      </c>
      <c r="M41" s="46" t="s">
        <v>506</v>
      </c>
    </row>
    <row r="42" spans="3:13" ht="22">
      <c r="C42" s="507" t="s">
        <v>1420</v>
      </c>
      <c r="D42" s="2" t="s">
        <v>513</v>
      </c>
      <c r="H42" s="4">
        <v>218</v>
      </c>
      <c r="I42" s="2" t="s">
        <v>420</v>
      </c>
      <c r="L42" s="2" t="s">
        <v>505</v>
      </c>
      <c r="M42" s="46" t="s">
        <v>506</v>
      </c>
    </row>
    <row r="43" spans="3:13" ht="22">
      <c r="C43" s="507" t="s">
        <v>1421</v>
      </c>
      <c r="D43" s="2" t="s">
        <v>514</v>
      </c>
      <c r="H43" s="4">
        <v>266</v>
      </c>
      <c r="I43" s="2" t="s">
        <v>420</v>
      </c>
      <c r="L43" s="2" t="s">
        <v>505</v>
      </c>
      <c r="M43" s="46" t="s">
        <v>506</v>
      </c>
    </row>
    <row r="44" spans="3:13" ht="22">
      <c r="C44" s="507" t="s">
        <v>1422</v>
      </c>
      <c r="D44" s="2" t="s">
        <v>515</v>
      </c>
      <c r="H44" s="4">
        <v>1.4E-2</v>
      </c>
      <c r="I44" s="2" t="s">
        <v>420</v>
      </c>
      <c r="L44" s="2" t="s">
        <v>516</v>
      </c>
      <c r="M44" s="46" t="s">
        <v>506</v>
      </c>
    </row>
    <row r="45" spans="3:13" ht="22">
      <c r="C45" s="507" t="s">
        <v>1423</v>
      </c>
      <c r="D45" s="2" t="s">
        <v>517</v>
      </c>
      <c r="H45" s="4">
        <v>5.2999999999999999E-2</v>
      </c>
      <c r="I45" s="2" t="s">
        <v>420</v>
      </c>
      <c r="L45" s="2" t="s">
        <v>505</v>
      </c>
      <c r="M45" s="46" t="s">
        <v>506</v>
      </c>
    </row>
    <row r="46" spans="3:13">
      <c r="C46" s="361" t="s">
        <v>1424</v>
      </c>
      <c r="D46" s="361" t="s">
        <v>518</v>
      </c>
      <c r="E46" s="361"/>
      <c r="F46" s="361"/>
      <c r="G46" s="361"/>
      <c r="H46" s="4">
        <v>91.7</v>
      </c>
      <c r="I46" s="361" t="s">
        <v>420</v>
      </c>
      <c r="J46" s="361"/>
      <c r="K46" s="361"/>
      <c r="L46" s="361" t="s">
        <v>505</v>
      </c>
      <c r="M46" s="46" t="s">
        <v>508</v>
      </c>
    </row>
    <row r="47" spans="3:13">
      <c r="C47" s="361" t="s">
        <v>1425</v>
      </c>
      <c r="D47" s="361" t="s">
        <v>519</v>
      </c>
      <c r="E47" s="361"/>
      <c r="F47" s="361"/>
      <c r="G47" s="361"/>
      <c r="H47" s="4">
        <v>88.2</v>
      </c>
      <c r="I47" s="361" t="s">
        <v>420</v>
      </c>
      <c r="J47" s="361"/>
      <c r="K47" s="361"/>
      <c r="L47" s="361" t="s">
        <v>505</v>
      </c>
      <c r="M47" s="46" t="s">
        <v>508</v>
      </c>
    </row>
    <row r="48" spans="3:13" ht="22">
      <c r="C48" s="507" t="s">
        <v>1426</v>
      </c>
      <c r="D48" s="2" t="s">
        <v>520</v>
      </c>
      <c r="H48" s="4">
        <v>354</v>
      </c>
      <c r="I48" s="2" t="s">
        <v>420</v>
      </c>
      <c r="L48" s="2" t="s">
        <v>505</v>
      </c>
      <c r="M48" s="46" t="s">
        <v>506</v>
      </c>
    </row>
    <row r="49" spans="1:14" ht="22">
      <c r="C49" s="507" t="s">
        <v>1427</v>
      </c>
      <c r="D49" s="2" t="s">
        <v>521</v>
      </c>
      <c r="H49" s="4">
        <v>404</v>
      </c>
      <c r="I49" s="2" t="s">
        <v>420</v>
      </c>
      <c r="L49" s="2" t="s">
        <v>505</v>
      </c>
      <c r="M49" s="46" t="s">
        <v>506</v>
      </c>
    </row>
    <row r="50" spans="1:14" ht="22">
      <c r="C50" s="507" t="s">
        <v>1428</v>
      </c>
      <c r="D50" s="2" t="s">
        <v>522</v>
      </c>
      <c r="H50" s="4">
        <v>314</v>
      </c>
      <c r="I50" s="2" t="s">
        <v>420</v>
      </c>
      <c r="L50" s="2" t="s">
        <v>505</v>
      </c>
      <c r="M50" s="46" t="s">
        <v>506</v>
      </c>
    </row>
    <row r="51" spans="1:14" ht="22">
      <c r="C51" s="507" t="s">
        <v>1429</v>
      </c>
      <c r="D51" s="2" t="s">
        <v>523</v>
      </c>
      <c r="H51" s="4">
        <v>343</v>
      </c>
      <c r="I51" s="2" t="s">
        <v>420</v>
      </c>
      <c r="L51" s="2" t="s">
        <v>505</v>
      </c>
      <c r="M51" s="46" t="s">
        <v>506</v>
      </c>
    </row>
    <row r="52" spans="1:14" ht="22">
      <c r="A52" s="2" t="s">
        <v>328</v>
      </c>
      <c r="C52" s="507" t="s">
        <v>1430</v>
      </c>
      <c r="D52" s="2" t="s">
        <v>524</v>
      </c>
      <c r="H52" s="4">
        <v>393</v>
      </c>
      <c r="I52" s="2" t="s">
        <v>420</v>
      </c>
      <c r="L52" s="2" t="s">
        <v>505</v>
      </c>
      <c r="M52" s="46" t="s">
        <v>506</v>
      </c>
    </row>
    <row r="53" spans="1:14" ht="22">
      <c r="C53" s="507" t="s">
        <v>1431</v>
      </c>
      <c r="D53" s="2" t="s">
        <v>525</v>
      </c>
      <c r="H53" s="4">
        <v>303</v>
      </c>
      <c r="I53" s="2" t="s">
        <v>420</v>
      </c>
      <c r="L53" s="2" t="s">
        <v>505</v>
      </c>
      <c r="M53" s="46" t="s">
        <v>506</v>
      </c>
    </row>
    <row r="54" spans="1:14" ht="22">
      <c r="C54" s="507" t="s">
        <v>1432</v>
      </c>
      <c r="D54" s="2" t="s">
        <v>526</v>
      </c>
      <c r="H54" s="4">
        <v>401</v>
      </c>
      <c r="I54" s="2" t="s">
        <v>420</v>
      </c>
      <c r="L54" s="2" t="s">
        <v>505</v>
      </c>
      <c r="M54" s="46" t="s">
        <v>506</v>
      </c>
    </row>
    <row r="55" spans="1:14" ht="22">
      <c r="C55" s="507" t="s">
        <v>1433</v>
      </c>
      <c r="D55" s="2" t="s">
        <v>527</v>
      </c>
      <c r="H55" s="4">
        <v>451</v>
      </c>
      <c r="I55" s="2" t="s">
        <v>420</v>
      </c>
      <c r="L55" s="2" t="s">
        <v>505</v>
      </c>
      <c r="M55" s="46" t="s">
        <v>506</v>
      </c>
    </row>
    <row r="56" spans="1:14" ht="22">
      <c r="C56" s="507" t="s">
        <v>1434</v>
      </c>
      <c r="D56" s="2" t="s">
        <v>528</v>
      </c>
      <c r="H56" s="4">
        <v>361</v>
      </c>
      <c r="I56" s="2" t="s">
        <v>420</v>
      </c>
      <c r="L56" s="2" t="s">
        <v>505</v>
      </c>
      <c r="M56" s="46" t="s">
        <v>506</v>
      </c>
    </row>
    <row r="57" spans="1:14" ht="22">
      <c r="C57" s="507" t="s">
        <v>1435</v>
      </c>
      <c r="D57" s="2" t="s">
        <v>529</v>
      </c>
      <c r="H57" s="4">
        <v>2.3E-3</v>
      </c>
      <c r="I57" s="2" t="s">
        <v>420</v>
      </c>
      <c r="L57" s="2" t="s">
        <v>505</v>
      </c>
      <c r="M57" s="46" t="s">
        <v>506</v>
      </c>
      <c r="N57" s="2" t="s">
        <v>530</v>
      </c>
    </row>
    <row r="58" spans="1:14" ht="22">
      <c r="C58" s="507" t="s">
        <v>1436</v>
      </c>
      <c r="D58" s="2" t="s">
        <v>531</v>
      </c>
      <c r="H58" s="4">
        <v>1.8499999999999999E-2</v>
      </c>
      <c r="I58" s="2" t="s">
        <v>420</v>
      </c>
      <c r="L58" s="2" t="s">
        <v>505</v>
      </c>
      <c r="M58" s="46" t="s">
        <v>506</v>
      </c>
      <c r="N58" s="2" t="s">
        <v>532</v>
      </c>
    </row>
    <row r="59" spans="1:14" ht="22">
      <c r="C59" s="507" t="s">
        <v>1437</v>
      </c>
      <c r="D59" s="2" t="s">
        <v>533</v>
      </c>
      <c r="H59" s="4">
        <v>7.1000000000000005E-5</v>
      </c>
      <c r="I59" s="2" t="s">
        <v>420</v>
      </c>
      <c r="L59" s="2" t="s">
        <v>505</v>
      </c>
      <c r="M59" s="46" t="s">
        <v>506</v>
      </c>
      <c r="N59" s="2" t="s">
        <v>534</v>
      </c>
    </row>
    <row r="60" spans="1:14" ht="22">
      <c r="C60" s="507" t="s">
        <v>1438</v>
      </c>
      <c r="D60" s="2" t="s">
        <v>535</v>
      </c>
      <c r="H60" s="4">
        <v>1086</v>
      </c>
      <c r="I60" s="2" t="s">
        <v>420</v>
      </c>
      <c r="L60" s="2" t="s">
        <v>505</v>
      </c>
      <c r="M60" s="46" t="s">
        <v>506</v>
      </c>
    </row>
    <row r="61" spans="1:14" ht="22">
      <c r="C61" s="507" t="s">
        <v>1439</v>
      </c>
      <c r="D61" s="2" t="s">
        <v>536</v>
      </c>
      <c r="H61" s="4">
        <v>615</v>
      </c>
      <c r="I61" s="2" t="s">
        <v>420</v>
      </c>
      <c r="L61" s="2" t="s">
        <v>505</v>
      </c>
      <c r="M61" s="46" t="s">
        <v>506</v>
      </c>
    </row>
    <row r="62" spans="1:14" ht="22">
      <c r="C62" s="507" t="s">
        <v>1440</v>
      </c>
      <c r="D62" s="2" t="s">
        <v>537</v>
      </c>
      <c r="H62" s="4">
        <v>173</v>
      </c>
      <c r="I62" s="2" t="s">
        <v>420</v>
      </c>
      <c r="L62" s="2" t="s">
        <v>505</v>
      </c>
      <c r="M62" s="46" t="s">
        <v>506</v>
      </c>
    </row>
    <row r="63" spans="1:14" ht="22">
      <c r="C63" s="507" t="s">
        <v>1441</v>
      </c>
      <c r="D63" s="2" t="s">
        <v>538</v>
      </c>
      <c r="H63" s="4">
        <v>2.77</v>
      </c>
      <c r="I63" s="2" t="s">
        <v>420</v>
      </c>
      <c r="L63" s="2" t="s">
        <v>505</v>
      </c>
      <c r="M63" s="46" t="s">
        <v>506</v>
      </c>
    </row>
    <row r="64" spans="1:14" ht="22">
      <c r="C64" s="507" t="s">
        <v>1442</v>
      </c>
      <c r="D64" s="2" t="s">
        <v>539</v>
      </c>
      <c r="H64" s="4">
        <v>1.0999999999999999E-2</v>
      </c>
      <c r="I64" s="2" t="s">
        <v>420</v>
      </c>
      <c r="L64" s="2" t="s">
        <v>505</v>
      </c>
      <c r="M64" s="46" t="s">
        <v>506</v>
      </c>
      <c r="N64" s="2" t="s">
        <v>540</v>
      </c>
    </row>
    <row r="65" spans="3:13" ht="22">
      <c r="C65" s="507" t="s">
        <v>1443</v>
      </c>
      <c r="D65" s="2" t="s">
        <v>541</v>
      </c>
      <c r="H65" s="4">
        <v>0.7</v>
      </c>
      <c r="I65" s="2" t="s">
        <v>420</v>
      </c>
      <c r="L65" s="2" t="s">
        <v>505</v>
      </c>
      <c r="M65" s="46" t="s">
        <v>506</v>
      </c>
    </row>
    <row r="66" spans="3:13" ht="22">
      <c r="C66" s="507" t="s">
        <v>1444</v>
      </c>
      <c r="D66" s="2" t="s">
        <v>542</v>
      </c>
      <c r="H66" s="4">
        <v>0.6</v>
      </c>
      <c r="I66" s="2" t="s">
        <v>420</v>
      </c>
      <c r="L66" s="2" t="s">
        <v>505</v>
      </c>
      <c r="M66" s="46" t="s">
        <v>506</v>
      </c>
    </row>
    <row r="67" spans="3:13" ht="22">
      <c r="C67" s="507" t="s">
        <v>1445</v>
      </c>
      <c r="D67" s="2" t="s">
        <v>543</v>
      </c>
      <c r="H67" s="4">
        <v>1.2</v>
      </c>
      <c r="I67" s="2" t="s">
        <v>420</v>
      </c>
      <c r="L67" s="2" t="s">
        <v>505</v>
      </c>
      <c r="M67" s="46" t="s">
        <v>506</v>
      </c>
    </row>
    <row r="68" spans="3:13" ht="22">
      <c r="C68" s="507" t="s">
        <v>1446</v>
      </c>
      <c r="D68" s="2" t="s">
        <v>544</v>
      </c>
      <c r="H68" s="4">
        <v>1.4</v>
      </c>
      <c r="I68" s="2" t="s">
        <v>420</v>
      </c>
      <c r="L68" s="2" t="s">
        <v>505</v>
      </c>
      <c r="M68" s="46" t="s">
        <v>506</v>
      </c>
    </row>
    <row r="69" spans="3:13" ht="22">
      <c r="C69" s="507" t="s">
        <v>1447</v>
      </c>
      <c r="D69" s="2" t="s">
        <v>545</v>
      </c>
      <c r="H69" s="4">
        <v>3</v>
      </c>
      <c r="I69" s="2" t="s">
        <v>420</v>
      </c>
      <c r="L69" s="2" t="s">
        <v>505</v>
      </c>
      <c r="M69" s="46" t="s">
        <v>506</v>
      </c>
    </row>
    <row r="70" spans="3:13" ht="22">
      <c r="C70" s="507" t="s">
        <v>1448</v>
      </c>
      <c r="D70" s="2" t="s">
        <v>546</v>
      </c>
      <c r="H70" s="4">
        <v>1.8</v>
      </c>
      <c r="I70" s="2" t="s">
        <v>420</v>
      </c>
      <c r="L70" s="2" t="s">
        <v>505</v>
      </c>
      <c r="M70" s="46" t="s">
        <v>506</v>
      </c>
    </row>
    <row r="71" spans="3:13" ht="22">
      <c r="C71" s="507" t="s">
        <v>1449</v>
      </c>
      <c r="D71" s="2" t="s">
        <v>547</v>
      </c>
      <c r="H71" s="4">
        <v>3</v>
      </c>
      <c r="I71" s="2" t="s">
        <v>420</v>
      </c>
      <c r="L71" s="2" t="s">
        <v>505</v>
      </c>
      <c r="M71" s="46" t="s">
        <v>506</v>
      </c>
    </row>
    <row r="72" spans="3:13" ht="22">
      <c r="C72" s="507" t="s">
        <v>1450</v>
      </c>
      <c r="D72" s="2" t="s">
        <v>548</v>
      </c>
      <c r="H72" s="4">
        <v>0.6</v>
      </c>
      <c r="I72" s="2" t="s">
        <v>420</v>
      </c>
      <c r="L72" s="2" t="s">
        <v>505</v>
      </c>
      <c r="M72" s="46" t="s">
        <v>506</v>
      </c>
    </row>
    <row r="73" spans="3:13" ht="22">
      <c r="C73" s="507" t="s">
        <v>1451</v>
      </c>
      <c r="D73" s="2" t="s">
        <v>549</v>
      </c>
      <c r="H73" s="4">
        <v>4.5</v>
      </c>
      <c r="I73" s="2" t="s">
        <v>420</v>
      </c>
      <c r="L73" s="2" t="s">
        <v>505</v>
      </c>
      <c r="M73" s="46" t="s">
        <v>506</v>
      </c>
    </row>
    <row r="74" spans="3:13" ht="22">
      <c r="C74" s="507" t="s">
        <v>1452</v>
      </c>
      <c r="D74" s="2" t="s">
        <v>550</v>
      </c>
      <c r="H74" s="4">
        <v>0.6</v>
      </c>
      <c r="I74" s="2" t="s">
        <v>420</v>
      </c>
      <c r="L74" s="2" t="s">
        <v>505</v>
      </c>
      <c r="M74" s="46" t="s">
        <v>506</v>
      </c>
    </row>
    <row r="75" spans="3:13" ht="22">
      <c r="C75" s="507" t="s">
        <v>1453</v>
      </c>
      <c r="D75" s="2" t="s">
        <v>551</v>
      </c>
      <c r="H75" s="4">
        <v>6</v>
      </c>
      <c r="I75" s="2" t="s">
        <v>420</v>
      </c>
      <c r="L75" s="2" t="s">
        <v>505</v>
      </c>
      <c r="M75" s="46" t="s">
        <v>506</v>
      </c>
    </row>
    <row r="76" spans="3:13" ht="22">
      <c r="C76" s="507" t="s">
        <v>1454</v>
      </c>
      <c r="D76" s="2" t="s">
        <v>552</v>
      </c>
      <c r="H76" s="4">
        <v>7.7999999999999996E-3</v>
      </c>
      <c r="I76" s="2" t="s">
        <v>420</v>
      </c>
      <c r="L76" s="2" t="s">
        <v>553</v>
      </c>
      <c r="M76" s="46" t="s">
        <v>506</v>
      </c>
    </row>
    <row r="77" spans="3:13" ht="22">
      <c r="C77" s="507" t="s">
        <v>1455</v>
      </c>
      <c r="D77" s="2" t="s">
        <v>554</v>
      </c>
      <c r="H77" s="4">
        <v>0.01</v>
      </c>
      <c r="I77" s="2" t="s">
        <v>420</v>
      </c>
      <c r="L77" s="2" t="s">
        <v>553</v>
      </c>
      <c r="M77" s="46" t="s">
        <v>506</v>
      </c>
    </row>
    <row r="78" spans="3:13" ht="22">
      <c r="C78" s="507" t="s">
        <v>1456</v>
      </c>
      <c r="D78" s="2" t="s">
        <v>555</v>
      </c>
      <c r="H78" s="4">
        <v>7.0999999999999994E-2</v>
      </c>
      <c r="I78" s="2" t="s">
        <v>420</v>
      </c>
      <c r="L78" s="2" t="s">
        <v>553</v>
      </c>
      <c r="M78" s="46" t="s">
        <v>506</v>
      </c>
    </row>
    <row r="79" spans="3:13" ht="22">
      <c r="C79" s="507" t="s">
        <v>1457</v>
      </c>
      <c r="D79" s="2" t="s">
        <v>556</v>
      </c>
      <c r="H79" s="4">
        <v>9.7000000000000003E-2</v>
      </c>
      <c r="I79" s="2" t="s">
        <v>420</v>
      </c>
      <c r="L79" s="2" t="s">
        <v>553</v>
      </c>
      <c r="M79" s="46" t="s">
        <v>506</v>
      </c>
    </row>
    <row r="80" spans="3:13" ht="22">
      <c r="C80" s="507" t="s">
        <v>1458</v>
      </c>
      <c r="D80" s="2" t="s">
        <v>557</v>
      </c>
      <c r="H80" s="4">
        <v>3.2000000000000001E-2</v>
      </c>
      <c r="I80" s="2" t="s">
        <v>420</v>
      </c>
      <c r="L80" s="2" t="s">
        <v>553</v>
      </c>
      <c r="M80" s="46" t="s">
        <v>506</v>
      </c>
    </row>
    <row r="81" spans="3:14" ht="22">
      <c r="C81" s="507" t="s">
        <v>1459</v>
      </c>
      <c r="D81" s="2" t="s">
        <v>558</v>
      </c>
      <c r="H81" s="4">
        <v>3.7999999999999999E-2</v>
      </c>
      <c r="I81" s="2" t="s">
        <v>420</v>
      </c>
      <c r="L81" s="2" t="s">
        <v>553</v>
      </c>
      <c r="M81" s="46" t="s">
        <v>506</v>
      </c>
    </row>
    <row r="82" spans="3:14" ht="22">
      <c r="C82" s="507" t="s">
        <v>1460</v>
      </c>
      <c r="D82" s="2" t="s">
        <v>559</v>
      </c>
      <c r="H82" s="4">
        <v>1.4999999999999999E-2</v>
      </c>
      <c r="I82" s="2" t="s">
        <v>420</v>
      </c>
      <c r="L82" s="2" t="s">
        <v>553</v>
      </c>
      <c r="M82" s="46" t="s">
        <v>506</v>
      </c>
    </row>
    <row r="83" spans="3:14" ht="22">
      <c r="C83" s="507" t="s">
        <v>1461</v>
      </c>
      <c r="D83" s="2" t="s">
        <v>560</v>
      </c>
      <c r="H83" s="4">
        <v>2.1000000000000001E-2</v>
      </c>
      <c r="I83" s="2" t="s">
        <v>420</v>
      </c>
      <c r="L83" s="2" t="s">
        <v>553</v>
      </c>
      <c r="M83" s="46" t="s">
        <v>506</v>
      </c>
    </row>
    <row r="84" spans="3:14" ht="22">
      <c r="C84" s="507" t="s">
        <v>1462</v>
      </c>
      <c r="D84" s="2" t="s">
        <v>561</v>
      </c>
      <c r="H84" s="4">
        <v>2.6599999999999999E-2</v>
      </c>
      <c r="I84" s="2" t="s">
        <v>420</v>
      </c>
      <c r="L84" s="2" t="s">
        <v>553</v>
      </c>
      <c r="M84" s="46" t="s">
        <v>506</v>
      </c>
    </row>
    <row r="85" spans="3:14" ht="22">
      <c r="C85" s="507" t="s">
        <v>1463</v>
      </c>
      <c r="D85" s="2" t="s">
        <v>562</v>
      </c>
      <c r="H85" s="4">
        <v>9.6</v>
      </c>
      <c r="I85" s="2" t="s">
        <v>420</v>
      </c>
      <c r="L85" s="2" t="s">
        <v>505</v>
      </c>
      <c r="M85" s="46" t="s">
        <v>506</v>
      </c>
    </row>
    <row r="86" spans="3:14" ht="22">
      <c r="C86" s="507" t="s">
        <v>1464</v>
      </c>
      <c r="D86" s="2" t="s">
        <v>563</v>
      </c>
      <c r="H86" s="4">
        <v>4.1399999999999997</v>
      </c>
      <c r="I86" s="2" t="s">
        <v>420</v>
      </c>
      <c r="L86" s="2" t="s">
        <v>505</v>
      </c>
      <c r="M86" s="46" t="s">
        <v>506</v>
      </c>
    </row>
    <row r="87" spans="3:14" ht="22">
      <c r="C87" s="507" t="s">
        <v>1465</v>
      </c>
      <c r="D87" s="2" t="s">
        <v>564</v>
      </c>
      <c r="H87" s="4">
        <v>4.63</v>
      </c>
      <c r="I87" s="2" t="s">
        <v>420</v>
      </c>
      <c r="L87" s="2" t="s">
        <v>505</v>
      </c>
      <c r="M87" s="46" t="s">
        <v>506</v>
      </c>
    </row>
    <row r="88" spans="3:14" ht="22">
      <c r="C88" s="507" t="s">
        <v>1466</v>
      </c>
      <c r="D88" s="2" t="s">
        <v>565</v>
      </c>
      <c r="H88" s="4">
        <v>22.54</v>
      </c>
      <c r="I88" s="2" t="s">
        <v>420</v>
      </c>
      <c r="L88" s="2" t="s">
        <v>505</v>
      </c>
      <c r="M88" s="46" t="s">
        <v>506</v>
      </c>
    </row>
    <row r="89" spans="3:14" ht="22">
      <c r="C89" s="507" t="s">
        <v>1467</v>
      </c>
      <c r="D89" s="2" t="s">
        <v>566</v>
      </c>
      <c r="H89" s="4">
        <v>2.4</v>
      </c>
      <c r="I89" s="2" t="s">
        <v>420</v>
      </c>
      <c r="L89" s="2" t="s">
        <v>567</v>
      </c>
      <c r="M89" s="46" t="s">
        <v>506</v>
      </c>
    </row>
    <row r="90" spans="3:14" ht="22">
      <c r="C90" s="507" t="s">
        <v>1468</v>
      </c>
      <c r="D90" s="2" t="s">
        <v>568</v>
      </c>
      <c r="H90" s="4">
        <v>0.182</v>
      </c>
      <c r="I90" s="2" t="s">
        <v>420</v>
      </c>
      <c r="L90" s="2" t="s">
        <v>505</v>
      </c>
      <c r="M90" s="46" t="s">
        <v>506</v>
      </c>
      <c r="N90" s="2" t="s">
        <v>569</v>
      </c>
    </row>
    <row r="91" spans="3:14" ht="22">
      <c r="C91" s="507" t="s">
        <v>1469</v>
      </c>
      <c r="D91" s="2" t="s">
        <v>570</v>
      </c>
      <c r="H91" s="4">
        <v>0.10199999999999999</v>
      </c>
      <c r="I91" s="2" t="s">
        <v>420</v>
      </c>
      <c r="L91" s="2" t="s">
        <v>505</v>
      </c>
      <c r="M91" s="46" t="s">
        <v>506</v>
      </c>
      <c r="N91" s="2" t="s">
        <v>571</v>
      </c>
    </row>
    <row r="92" spans="3:14" ht="22">
      <c r="C92" s="507" t="s">
        <v>1470</v>
      </c>
      <c r="D92" s="2" t="s">
        <v>572</v>
      </c>
      <c r="H92" s="4">
        <v>0.24</v>
      </c>
      <c r="I92" s="2" t="s">
        <v>420</v>
      </c>
      <c r="L92" s="2" t="s">
        <v>505</v>
      </c>
      <c r="M92" s="46" t="s">
        <v>506</v>
      </c>
      <c r="N92" s="2" t="s">
        <v>573</v>
      </c>
    </row>
    <row r="93" spans="3:14" ht="22">
      <c r="C93" s="507" t="s">
        <v>1471</v>
      </c>
      <c r="D93" s="2" t="s">
        <v>574</v>
      </c>
      <c r="H93" s="4">
        <v>5.2999999999999999E-2</v>
      </c>
      <c r="I93" s="2" t="s">
        <v>420</v>
      </c>
      <c r="L93" s="2" t="s">
        <v>505</v>
      </c>
      <c r="M93" s="46" t="s">
        <v>506</v>
      </c>
      <c r="N93" s="2" t="s">
        <v>575</v>
      </c>
    </row>
    <row r="94" spans="3:14" ht="22">
      <c r="C94" s="507" t="s">
        <v>1472</v>
      </c>
      <c r="D94" s="2" t="s">
        <v>576</v>
      </c>
      <c r="H94" s="4">
        <v>1.5</v>
      </c>
      <c r="I94" s="2" t="s">
        <v>420</v>
      </c>
      <c r="L94" s="2" t="s">
        <v>567</v>
      </c>
      <c r="M94" s="46" t="s">
        <v>506</v>
      </c>
    </row>
    <row r="95" spans="3:14" ht="22">
      <c r="C95" s="507" t="s">
        <v>1473</v>
      </c>
      <c r="D95" s="2" t="s">
        <v>577</v>
      </c>
      <c r="H95" s="4">
        <v>1.8</v>
      </c>
      <c r="I95" s="2" t="s">
        <v>420</v>
      </c>
      <c r="L95" s="2" t="s">
        <v>567</v>
      </c>
      <c r="M95" s="46" t="s">
        <v>506</v>
      </c>
    </row>
    <row r="96" spans="3:14" ht="22">
      <c r="C96" s="507" t="s">
        <v>1474</v>
      </c>
      <c r="D96" s="2" t="s">
        <v>578</v>
      </c>
      <c r="H96" s="4">
        <v>3</v>
      </c>
      <c r="I96" s="2" t="s">
        <v>420</v>
      </c>
      <c r="L96" s="2" t="s">
        <v>567</v>
      </c>
      <c r="M96" s="46" t="s">
        <v>506</v>
      </c>
    </row>
    <row r="97" spans="3:14" ht="22">
      <c r="C97" s="507" t="s">
        <v>1475</v>
      </c>
      <c r="D97" s="2" t="s">
        <v>579</v>
      </c>
      <c r="H97" s="4">
        <v>3.2000000000000002E-3</v>
      </c>
      <c r="I97" s="2" t="s">
        <v>420</v>
      </c>
      <c r="L97" s="2" t="s">
        <v>505</v>
      </c>
      <c r="M97" s="46" t="s">
        <v>506</v>
      </c>
      <c r="N97" s="2" t="s">
        <v>540</v>
      </c>
    </row>
    <row r="98" spans="3:14" ht="22">
      <c r="C98" s="507" t="s">
        <v>1476</v>
      </c>
      <c r="D98" s="2" t="s">
        <v>580</v>
      </c>
      <c r="H98" s="4">
        <v>3.5999999999999999E-3</v>
      </c>
      <c r="I98" s="2" t="s">
        <v>420</v>
      </c>
      <c r="L98" s="2" t="s">
        <v>505</v>
      </c>
      <c r="M98" s="46" t="s">
        <v>506</v>
      </c>
      <c r="N98" s="2" t="s">
        <v>581</v>
      </c>
    </row>
    <row r="99" spans="3:14" ht="22">
      <c r="C99" s="507" t="s">
        <v>1477</v>
      </c>
      <c r="D99" s="2" t="s">
        <v>582</v>
      </c>
      <c r="H99" s="4">
        <v>3.9999999999999998E-6</v>
      </c>
      <c r="I99" s="2" t="s">
        <v>420</v>
      </c>
      <c r="L99" s="2" t="s">
        <v>505</v>
      </c>
      <c r="M99" s="46" t="s">
        <v>506</v>
      </c>
      <c r="N99" s="2" t="s">
        <v>583</v>
      </c>
    </row>
    <row r="100" spans="3:14" ht="22">
      <c r="C100" s="507" t="s">
        <v>1478</v>
      </c>
      <c r="D100" s="2" t="s">
        <v>584</v>
      </c>
      <c r="H100" s="4">
        <v>2688</v>
      </c>
      <c r="I100" s="2" t="s">
        <v>420</v>
      </c>
      <c r="L100" s="2" t="s">
        <v>505</v>
      </c>
      <c r="M100" s="46" t="s">
        <v>506</v>
      </c>
    </row>
    <row r="101" spans="3:14" ht="22">
      <c r="C101" s="507" t="s">
        <v>1479</v>
      </c>
      <c r="D101" s="2" t="s">
        <v>585</v>
      </c>
      <c r="H101" s="4">
        <v>26.13</v>
      </c>
      <c r="I101" s="2" t="s">
        <v>420</v>
      </c>
      <c r="L101" s="2" t="s">
        <v>505</v>
      </c>
      <c r="M101" s="46" t="s">
        <v>506</v>
      </c>
    </row>
    <row r="102" spans="3:14" ht="22">
      <c r="C102" s="507" t="s">
        <v>1480</v>
      </c>
      <c r="D102" s="2" t="s">
        <v>586</v>
      </c>
      <c r="H102" s="4">
        <v>1.0999999999999999E-2</v>
      </c>
      <c r="I102" s="2" t="s">
        <v>420</v>
      </c>
      <c r="L102" s="2" t="s">
        <v>505</v>
      </c>
      <c r="M102" s="46" t="s">
        <v>506</v>
      </c>
      <c r="N102" s="2" t="s">
        <v>587</v>
      </c>
    </row>
    <row r="103" spans="3:14" ht="22">
      <c r="C103" s="507" t="s">
        <v>1481</v>
      </c>
      <c r="D103" s="2" t="s">
        <v>588</v>
      </c>
      <c r="H103" s="4">
        <v>1.24</v>
      </c>
      <c r="I103" s="2" t="s">
        <v>420</v>
      </c>
      <c r="L103" s="2" t="s">
        <v>505</v>
      </c>
      <c r="M103" s="46" t="s">
        <v>506</v>
      </c>
    </row>
    <row r="104" spans="3:14" ht="22">
      <c r="C104" s="507" t="s">
        <v>1482</v>
      </c>
      <c r="D104" s="2" t="s">
        <v>589</v>
      </c>
      <c r="H104" s="4">
        <v>260</v>
      </c>
      <c r="I104" s="2" t="s">
        <v>420</v>
      </c>
      <c r="L104" s="2" t="s">
        <v>505</v>
      </c>
      <c r="M104" s="46" t="s">
        <v>506</v>
      </c>
    </row>
    <row r="105" spans="3:14" ht="22">
      <c r="C105" s="507" t="s">
        <v>1483</v>
      </c>
      <c r="D105" s="2" t="s">
        <v>590</v>
      </c>
      <c r="H105" s="4">
        <v>268</v>
      </c>
      <c r="I105" s="2" t="s">
        <v>420</v>
      </c>
      <c r="L105" s="2" t="s">
        <v>505</v>
      </c>
      <c r="M105" s="46" t="s">
        <v>506</v>
      </c>
    </row>
    <row r="106" spans="3:14" ht="22">
      <c r="C106" s="507" t="s">
        <v>1484</v>
      </c>
      <c r="D106" s="2" t="s">
        <v>591</v>
      </c>
      <c r="H106" s="4">
        <v>276</v>
      </c>
      <c r="I106" s="2" t="s">
        <v>420</v>
      </c>
      <c r="L106" s="2" t="s">
        <v>505</v>
      </c>
      <c r="M106" s="46" t="s">
        <v>506</v>
      </c>
    </row>
    <row r="107" spans="3:14" ht="22">
      <c r="C107" s="507" t="s">
        <v>1485</v>
      </c>
      <c r="D107" s="2" t="s">
        <v>592</v>
      </c>
      <c r="H107" s="4">
        <v>290</v>
      </c>
      <c r="I107" s="2" t="s">
        <v>420</v>
      </c>
      <c r="L107" s="2" t="s">
        <v>505</v>
      </c>
      <c r="M107" s="46" t="s">
        <v>506</v>
      </c>
    </row>
    <row r="108" spans="3:14" ht="22">
      <c r="C108" s="507" t="s">
        <v>1486</v>
      </c>
      <c r="D108" s="2" t="s">
        <v>593</v>
      </c>
      <c r="H108" s="4">
        <v>241</v>
      </c>
      <c r="I108" s="2" t="s">
        <v>420</v>
      </c>
      <c r="L108" s="2" t="s">
        <v>505</v>
      </c>
      <c r="M108" s="46" t="s">
        <v>506</v>
      </c>
    </row>
    <row r="109" spans="3:14" ht="22">
      <c r="C109" s="507" t="s">
        <v>1487</v>
      </c>
      <c r="D109" s="2" t="s">
        <v>594</v>
      </c>
      <c r="H109" s="4">
        <v>249</v>
      </c>
      <c r="I109" s="2" t="s">
        <v>420</v>
      </c>
      <c r="L109" s="2" t="s">
        <v>505</v>
      </c>
      <c r="M109" s="46" t="s">
        <v>506</v>
      </c>
    </row>
    <row r="110" spans="3:14" ht="22">
      <c r="C110" s="507" t="s">
        <v>1488</v>
      </c>
      <c r="D110" s="2" t="s">
        <v>595</v>
      </c>
      <c r="H110" s="4">
        <v>256</v>
      </c>
      <c r="I110" s="2" t="s">
        <v>420</v>
      </c>
      <c r="L110" s="2" t="s">
        <v>505</v>
      </c>
      <c r="M110" s="46" t="s">
        <v>506</v>
      </c>
    </row>
    <row r="111" spans="3:14" ht="22">
      <c r="C111" s="507" t="s">
        <v>1489</v>
      </c>
      <c r="D111" s="2" t="s">
        <v>596</v>
      </c>
      <c r="H111" s="4">
        <v>270</v>
      </c>
      <c r="I111" s="2" t="s">
        <v>420</v>
      </c>
      <c r="L111" s="2" t="s">
        <v>505</v>
      </c>
      <c r="M111" s="46" t="s">
        <v>506</v>
      </c>
    </row>
    <row r="112" spans="3:14" ht="22">
      <c r="C112" s="507" t="s">
        <v>1490</v>
      </c>
      <c r="D112" s="2" t="s">
        <v>597</v>
      </c>
      <c r="H112" s="4">
        <v>248</v>
      </c>
      <c r="I112" s="2" t="s">
        <v>420</v>
      </c>
      <c r="L112" s="2" t="s">
        <v>505</v>
      </c>
      <c r="M112" s="46" t="s">
        <v>506</v>
      </c>
    </row>
    <row r="113" spans="3:14" ht="22">
      <c r="C113" s="507" t="s">
        <v>1491</v>
      </c>
      <c r="D113" s="2" t="s">
        <v>598</v>
      </c>
      <c r="H113" s="4">
        <v>256</v>
      </c>
      <c r="I113" s="2" t="s">
        <v>420</v>
      </c>
      <c r="L113" s="2" t="s">
        <v>505</v>
      </c>
      <c r="M113" s="46" t="s">
        <v>506</v>
      </c>
    </row>
    <row r="114" spans="3:14" ht="22">
      <c r="C114" s="507" t="s">
        <v>1492</v>
      </c>
      <c r="D114" s="2" t="s">
        <v>599</v>
      </c>
      <c r="H114" s="4">
        <v>263</v>
      </c>
      <c r="I114" s="2" t="s">
        <v>420</v>
      </c>
      <c r="L114" s="2" t="s">
        <v>505</v>
      </c>
      <c r="M114" s="46" t="s">
        <v>506</v>
      </c>
    </row>
    <row r="115" spans="3:14" ht="22">
      <c r="C115" s="507" t="s">
        <v>1493</v>
      </c>
      <c r="D115" s="2" t="s">
        <v>600</v>
      </c>
      <c r="H115" s="4">
        <v>277</v>
      </c>
      <c r="I115" s="2" t="s">
        <v>420</v>
      </c>
      <c r="L115" s="2" t="s">
        <v>505</v>
      </c>
      <c r="M115" s="46" t="s">
        <v>506</v>
      </c>
    </row>
    <row r="116" spans="3:14" ht="22">
      <c r="C116" s="507" t="s">
        <v>1494</v>
      </c>
      <c r="D116" s="2" t="s">
        <v>601</v>
      </c>
      <c r="H116" s="4">
        <v>9</v>
      </c>
      <c r="I116" s="2" t="s">
        <v>420</v>
      </c>
      <c r="L116" s="2" t="s">
        <v>505</v>
      </c>
      <c r="M116" s="46" t="s">
        <v>506</v>
      </c>
    </row>
    <row r="117" spans="3:14" ht="22">
      <c r="C117" s="507" t="s">
        <v>1495</v>
      </c>
      <c r="D117" s="2" t="s">
        <v>602</v>
      </c>
      <c r="H117" s="4">
        <v>0.02</v>
      </c>
      <c r="I117" s="2" t="s">
        <v>420</v>
      </c>
      <c r="L117" s="2" t="s">
        <v>516</v>
      </c>
      <c r="M117" s="46" t="s">
        <v>506</v>
      </c>
    </row>
    <row r="118" spans="3:14" ht="22">
      <c r="C118" s="507" t="s">
        <v>1496</v>
      </c>
      <c r="D118" s="2" t="s">
        <v>603</v>
      </c>
      <c r="H118" s="4">
        <v>1.6E-2</v>
      </c>
      <c r="I118" s="2" t="s">
        <v>420</v>
      </c>
      <c r="L118" s="2" t="s">
        <v>516</v>
      </c>
      <c r="M118" s="46" t="s">
        <v>506</v>
      </c>
    </row>
    <row r="119" spans="3:14" ht="22">
      <c r="C119" s="507" t="s">
        <v>1497</v>
      </c>
      <c r="D119" s="2" t="s">
        <v>604</v>
      </c>
      <c r="H119" s="4">
        <v>7.3000000000000001E-3</v>
      </c>
      <c r="I119" s="2" t="s">
        <v>420</v>
      </c>
      <c r="L119" s="2" t="s">
        <v>505</v>
      </c>
      <c r="M119" s="46" t="s">
        <v>506</v>
      </c>
      <c r="N119" s="2" t="s">
        <v>605</v>
      </c>
    </row>
    <row r="120" spans="3:14" ht="22">
      <c r="C120" s="507" t="s">
        <v>1498</v>
      </c>
      <c r="D120" s="2" t="s">
        <v>606</v>
      </c>
      <c r="H120" s="4">
        <v>23</v>
      </c>
      <c r="I120" s="2" t="s">
        <v>420</v>
      </c>
      <c r="L120" s="2" t="s">
        <v>505</v>
      </c>
      <c r="M120" s="46" t="s">
        <v>506</v>
      </c>
    </row>
    <row r="121" spans="3:14" ht="22">
      <c r="C121" s="507" t="s">
        <v>1499</v>
      </c>
      <c r="D121" s="2" t="s">
        <v>607</v>
      </c>
      <c r="H121" s="4">
        <v>5.99</v>
      </c>
      <c r="I121" s="2" t="s">
        <v>420</v>
      </c>
      <c r="L121" s="2" t="s">
        <v>608</v>
      </c>
      <c r="M121" s="46" t="s">
        <v>506</v>
      </c>
    </row>
    <row r="122" spans="3:14" ht="22">
      <c r="C122" s="507" t="s">
        <v>1500</v>
      </c>
      <c r="D122" s="2" t="s">
        <v>609</v>
      </c>
      <c r="H122" s="4">
        <v>10.7</v>
      </c>
      <c r="I122" s="2" t="s">
        <v>420</v>
      </c>
      <c r="L122" s="2" t="s">
        <v>608</v>
      </c>
      <c r="M122" s="46" t="s">
        <v>506</v>
      </c>
    </row>
    <row r="123" spans="3:14" ht="22">
      <c r="C123" s="507" t="s">
        <v>1501</v>
      </c>
      <c r="D123" s="2" t="s">
        <v>610</v>
      </c>
      <c r="H123" s="4">
        <v>1.31</v>
      </c>
      <c r="I123" s="2" t="s">
        <v>420</v>
      </c>
      <c r="L123" s="2" t="s">
        <v>608</v>
      </c>
      <c r="M123" s="46" t="s">
        <v>506</v>
      </c>
    </row>
    <row r="124" spans="3:14" ht="22">
      <c r="C124" s="507" t="s">
        <v>1502</v>
      </c>
      <c r="D124" s="2" t="s">
        <v>611</v>
      </c>
      <c r="H124" s="4">
        <v>5.26</v>
      </c>
      <c r="I124" s="2" t="s">
        <v>420</v>
      </c>
      <c r="L124" s="2" t="s">
        <v>608</v>
      </c>
      <c r="M124" s="46" t="s">
        <v>506</v>
      </c>
    </row>
    <row r="125" spans="3:14" ht="22">
      <c r="C125" s="507" t="s">
        <v>1503</v>
      </c>
      <c r="D125" s="2" t="s">
        <v>612</v>
      </c>
      <c r="H125" s="4">
        <v>9.6</v>
      </c>
      <c r="I125" s="2" t="s">
        <v>420</v>
      </c>
      <c r="L125" s="2" t="s">
        <v>608</v>
      </c>
      <c r="M125" s="46" t="s">
        <v>506</v>
      </c>
    </row>
    <row r="126" spans="3:14" ht="22">
      <c r="C126" s="507" t="s">
        <v>1504</v>
      </c>
      <c r="D126" s="2" t="s">
        <v>613</v>
      </c>
      <c r="H126" s="4">
        <v>0.93</v>
      </c>
      <c r="I126" s="2" t="s">
        <v>420</v>
      </c>
      <c r="L126" s="2" t="s">
        <v>608</v>
      </c>
      <c r="M126" s="46" t="s">
        <v>506</v>
      </c>
    </row>
    <row r="127" spans="3:14" ht="22">
      <c r="C127" s="507" t="s">
        <v>1505</v>
      </c>
      <c r="D127" s="2" t="s">
        <v>614</v>
      </c>
      <c r="H127" s="4">
        <v>4.8600000000000003</v>
      </c>
      <c r="I127" s="2" t="s">
        <v>420</v>
      </c>
      <c r="L127" s="2" t="s">
        <v>608</v>
      </c>
      <c r="M127" s="46" t="s">
        <v>506</v>
      </c>
    </row>
    <row r="128" spans="3:14" ht="22">
      <c r="C128" s="507" t="s">
        <v>1506</v>
      </c>
      <c r="D128" s="2" t="s">
        <v>615</v>
      </c>
      <c r="H128" s="4">
        <v>8.4499999999999993</v>
      </c>
      <c r="I128" s="2" t="s">
        <v>420</v>
      </c>
      <c r="L128" s="2" t="s">
        <v>608</v>
      </c>
      <c r="M128" s="46" t="s">
        <v>506</v>
      </c>
    </row>
    <row r="129" spans="3:13" ht="22">
      <c r="C129" s="507" t="s">
        <v>1507</v>
      </c>
      <c r="D129" s="2" t="s">
        <v>616</v>
      </c>
      <c r="H129" s="4">
        <v>1.31</v>
      </c>
      <c r="I129" s="2" t="s">
        <v>420</v>
      </c>
      <c r="L129" s="2" t="s">
        <v>608</v>
      </c>
      <c r="M129" s="46" t="s">
        <v>506</v>
      </c>
    </row>
    <row r="130" spans="3:13" ht="22">
      <c r="C130" s="507" t="s">
        <v>1508</v>
      </c>
      <c r="D130" s="2" t="s">
        <v>617</v>
      </c>
      <c r="H130" s="4">
        <v>4.1399999999999997</v>
      </c>
      <c r="I130" s="2" t="s">
        <v>420</v>
      </c>
      <c r="L130" s="2" t="s">
        <v>608</v>
      </c>
      <c r="M130" s="46" t="s">
        <v>506</v>
      </c>
    </row>
    <row r="131" spans="3:13" ht="22">
      <c r="C131" s="507" t="s">
        <v>1509</v>
      </c>
      <c r="D131" s="2" t="s">
        <v>618</v>
      </c>
      <c r="H131" s="4">
        <v>7.35</v>
      </c>
      <c r="I131" s="2" t="s">
        <v>420</v>
      </c>
      <c r="L131" s="2" t="s">
        <v>608</v>
      </c>
      <c r="M131" s="46" t="s">
        <v>506</v>
      </c>
    </row>
    <row r="132" spans="3:13" ht="22">
      <c r="C132" s="507" t="s">
        <v>1510</v>
      </c>
      <c r="D132" s="2" t="s">
        <v>619</v>
      </c>
      <c r="H132" s="4">
        <v>0.93</v>
      </c>
      <c r="I132" s="2" t="s">
        <v>420</v>
      </c>
      <c r="L132" s="2" t="s">
        <v>608</v>
      </c>
      <c r="M132" s="46" t="s">
        <v>506</v>
      </c>
    </row>
    <row r="133" spans="3:13" ht="22">
      <c r="C133" s="507" t="s">
        <v>1511</v>
      </c>
      <c r="D133" s="2" t="s">
        <v>620</v>
      </c>
      <c r="H133" s="4">
        <v>4.84</v>
      </c>
      <c r="I133" s="2" t="s">
        <v>420</v>
      </c>
      <c r="L133" s="2" t="s">
        <v>608</v>
      </c>
      <c r="M133" s="46" t="s">
        <v>506</v>
      </c>
    </row>
    <row r="134" spans="3:13" ht="22">
      <c r="C134" s="507" t="s">
        <v>1512</v>
      </c>
      <c r="D134" s="2" t="s">
        <v>621</v>
      </c>
      <c r="H134" s="4">
        <v>8.41</v>
      </c>
      <c r="I134" s="2" t="s">
        <v>420</v>
      </c>
      <c r="L134" s="2" t="s">
        <v>608</v>
      </c>
      <c r="M134" s="46" t="s">
        <v>506</v>
      </c>
    </row>
    <row r="135" spans="3:13" ht="22">
      <c r="C135" s="507" t="s">
        <v>1513</v>
      </c>
      <c r="D135" s="2" t="s">
        <v>622</v>
      </c>
      <c r="H135" s="4">
        <v>1.31</v>
      </c>
      <c r="I135" s="2" t="s">
        <v>420</v>
      </c>
      <c r="L135" s="2" t="s">
        <v>608</v>
      </c>
      <c r="M135" s="46" t="s">
        <v>506</v>
      </c>
    </row>
    <row r="136" spans="3:13" ht="22">
      <c r="C136" s="507" t="s">
        <v>1514</v>
      </c>
      <c r="D136" s="2" t="s">
        <v>623</v>
      </c>
      <c r="H136" s="4">
        <v>4.1100000000000003</v>
      </c>
      <c r="I136" s="2" t="s">
        <v>420</v>
      </c>
      <c r="L136" s="2" t="s">
        <v>608</v>
      </c>
      <c r="M136" s="46" t="s">
        <v>506</v>
      </c>
    </row>
    <row r="137" spans="3:13" ht="22">
      <c r="C137" s="507" t="s">
        <v>1515</v>
      </c>
      <c r="D137" s="2" t="s">
        <v>624</v>
      </c>
      <c r="H137" s="4">
        <v>7.33</v>
      </c>
      <c r="I137" s="2" t="s">
        <v>420</v>
      </c>
      <c r="L137" s="2" t="s">
        <v>608</v>
      </c>
      <c r="M137" s="46" t="s">
        <v>506</v>
      </c>
    </row>
    <row r="138" spans="3:13" ht="22">
      <c r="C138" s="507" t="s">
        <v>1516</v>
      </c>
      <c r="D138" s="2" t="s">
        <v>625</v>
      </c>
      <c r="H138" s="4">
        <v>0.93</v>
      </c>
      <c r="I138" s="2" t="s">
        <v>420</v>
      </c>
      <c r="L138" s="2" t="s">
        <v>608</v>
      </c>
      <c r="M138" s="46" t="s">
        <v>506</v>
      </c>
    </row>
    <row r="139" spans="3:13" ht="22">
      <c r="C139" s="507" t="s">
        <v>1517</v>
      </c>
      <c r="D139" s="2" t="s">
        <v>626</v>
      </c>
      <c r="H139" s="4">
        <v>4.84</v>
      </c>
      <c r="I139" s="2" t="s">
        <v>420</v>
      </c>
      <c r="L139" s="2" t="s">
        <v>608</v>
      </c>
      <c r="M139" s="46" t="s">
        <v>506</v>
      </c>
    </row>
    <row r="140" spans="3:13" ht="22">
      <c r="C140" s="507" t="s">
        <v>1518</v>
      </c>
      <c r="D140" s="2" t="s">
        <v>627</v>
      </c>
      <c r="H140" s="4">
        <v>8.4</v>
      </c>
      <c r="I140" s="2" t="s">
        <v>420</v>
      </c>
      <c r="L140" s="2" t="s">
        <v>608</v>
      </c>
      <c r="M140" s="46" t="s">
        <v>506</v>
      </c>
    </row>
    <row r="141" spans="3:13" ht="22">
      <c r="C141" s="507" t="s">
        <v>1519</v>
      </c>
      <c r="D141" s="2" t="s">
        <v>628</v>
      </c>
      <c r="H141" s="4">
        <v>1.31</v>
      </c>
      <c r="I141" s="2" t="s">
        <v>420</v>
      </c>
      <c r="L141" s="2" t="s">
        <v>608</v>
      </c>
      <c r="M141" s="46" t="s">
        <v>506</v>
      </c>
    </row>
    <row r="142" spans="3:13" ht="22">
      <c r="C142" s="507" t="s">
        <v>1520</v>
      </c>
      <c r="D142" s="2" t="s">
        <v>629</v>
      </c>
      <c r="H142" s="4">
        <v>4.07</v>
      </c>
      <c r="I142" s="2" t="s">
        <v>420</v>
      </c>
      <c r="L142" s="2" t="s">
        <v>608</v>
      </c>
      <c r="M142" s="46" t="s">
        <v>506</v>
      </c>
    </row>
    <row r="143" spans="3:13" ht="22">
      <c r="C143" s="507" t="s">
        <v>1521</v>
      </c>
      <c r="D143" s="2" t="s">
        <v>630</v>
      </c>
      <c r="H143" s="4">
        <v>7.22</v>
      </c>
      <c r="I143" s="2" t="s">
        <v>420</v>
      </c>
      <c r="L143" s="2" t="s">
        <v>608</v>
      </c>
      <c r="M143" s="46" t="s">
        <v>506</v>
      </c>
    </row>
    <row r="144" spans="3:13" ht="22">
      <c r="C144" s="507" t="s">
        <v>1522</v>
      </c>
      <c r="D144" s="2" t="s">
        <v>631</v>
      </c>
      <c r="H144" s="4">
        <v>0.93</v>
      </c>
      <c r="I144" s="2" t="s">
        <v>420</v>
      </c>
      <c r="L144" s="2" t="s">
        <v>608</v>
      </c>
      <c r="M144" s="46" t="s">
        <v>506</v>
      </c>
    </row>
    <row r="145" spans="3:14" ht="22">
      <c r="C145" s="507" t="s">
        <v>1523</v>
      </c>
      <c r="D145" s="2" t="s">
        <v>632</v>
      </c>
      <c r="H145" s="4">
        <v>4.8600000000000003</v>
      </c>
      <c r="I145" s="2" t="s">
        <v>420</v>
      </c>
      <c r="L145" s="2" t="s">
        <v>608</v>
      </c>
      <c r="M145" s="46" t="s">
        <v>506</v>
      </c>
    </row>
    <row r="146" spans="3:14" ht="22">
      <c r="C146" s="507" t="s">
        <v>1524</v>
      </c>
      <c r="D146" s="2" t="s">
        <v>633</v>
      </c>
      <c r="H146" s="4">
        <v>8.43</v>
      </c>
      <c r="I146" s="2" t="s">
        <v>420</v>
      </c>
      <c r="L146" s="2" t="s">
        <v>608</v>
      </c>
      <c r="M146" s="46" t="s">
        <v>506</v>
      </c>
    </row>
    <row r="147" spans="3:14" ht="22">
      <c r="C147" s="507" t="s">
        <v>1525</v>
      </c>
      <c r="D147" s="2" t="s">
        <v>634</v>
      </c>
      <c r="H147" s="4">
        <v>1.32</v>
      </c>
      <c r="I147" s="2" t="s">
        <v>420</v>
      </c>
      <c r="L147" s="2" t="s">
        <v>608</v>
      </c>
      <c r="M147" s="46" t="s">
        <v>506</v>
      </c>
    </row>
    <row r="148" spans="3:14" ht="22">
      <c r="C148" s="507" t="s">
        <v>1526</v>
      </c>
      <c r="D148" s="2" t="s">
        <v>635</v>
      </c>
      <c r="H148" s="4">
        <v>4.13</v>
      </c>
      <c r="I148" s="2" t="s">
        <v>420</v>
      </c>
      <c r="L148" s="2" t="s">
        <v>608</v>
      </c>
      <c r="M148" s="46" t="s">
        <v>506</v>
      </c>
    </row>
    <row r="149" spans="3:14" ht="22">
      <c r="C149" s="507" t="s">
        <v>1527</v>
      </c>
      <c r="D149" s="2" t="s">
        <v>636</v>
      </c>
      <c r="H149" s="4">
        <v>7.32</v>
      </c>
      <c r="I149" s="2" t="s">
        <v>420</v>
      </c>
      <c r="L149" s="2" t="s">
        <v>608</v>
      </c>
      <c r="M149" s="46" t="s">
        <v>506</v>
      </c>
    </row>
    <row r="150" spans="3:14" ht="22">
      <c r="C150" s="507" t="s">
        <v>1528</v>
      </c>
      <c r="D150" s="2" t="s">
        <v>637</v>
      </c>
      <c r="H150" s="4">
        <v>0.94</v>
      </c>
      <c r="I150" s="2" t="s">
        <v>420</v>
      </c>
      <c r="L150" s="2" t="s">
        <v>608</v>
      </c>
      <c r="M150" s="46" t="s">
        <v>506</v>
      </c>
    </row>
    <row r="151" spans="3:14">
      <c r="C151" s="507" t="s">
        <v>1529</v>
      </c>
      <c r="D151" s="507" t="s">
        <v>638</v>
      </c>
      <c r="H151" s="4">
        <v>1.8</v>
      </c>
      <c r="I151" s="2" t="s">
        <v>420</v>
      </c>
      <c r="L151" s="507" t="s">
        <v>505</v>
      </c>
      <c r="M151" s="46" t="s">
        <v>508</v>
      </c>
    </row>
    <row r="152" spans="3:14" ht="22">
      <c r="C152" s="507" t="s">
        <v>1530</v>
      </c>
      <c r="D152" s="2" t="s">
        <v>639</v>
      </c>
      <c r="H152" s="4">
        <v>2.77</v>
      </c>
      <c r="I152" s="2" t="s">
        <v>420</v>
      </c>
      <c r="L152" s="2" t="s">
        <v>505</v>
      </c>
      <c r="M152" s="46" t="s">
        <v>506</v>
      </c>
    </row>
    <row r="153" spans="3:14" ht="22">
      <c r="C153" s="507" t="s">
        <v>1531</v>
      </c>
      <c r="D153" s="2" t="s">
        <v>640</v>
      </c>
      <c r="H153" s="4">
        <v>1.23</v>
      </c>
      <c r="I153" s="2" t="s">
        <v>420</v>
      </c>
      <c r="L153" s="2" t="s">
        <v>505</v>
      </c>
      <c r="M153" s="46" t="s">
        <v>506</v>
      </c>
    </row>
    <row r="154" spans="3:14" ht="22">
      <c r="C154" s="507" t="s">
        <v>1532</v>
      </c>
      <c r="D154" s="2" t="s">
        <v>641</v>
      </c>
      <c r="H154" s="4">
        <v>0.629</v>
      </c>
      <c r="I154" s="2" t="s">
        <v>420</v>
      </c>
      <c r="L154" s="2" t="s">
        <v>505</v>
      </c>
      <c r="M154" s="46" t="s">
        <v>506</v>
      </c>
      <c r="N154" s="2" t="s">
        <v>642</v>
      </c>
    </row>
    <row r="155" spans="3:14" ht="22">
      <c r="C155" s="507" t="s">
        <v>1533</v>
      </c>
      <c r="D155" s="2" t="s">
        <v>643</v>
      </c>
      <c r="H155" s="4">
        <v>1.39</v>
      </c>
      <c r="I155" s="2" t="s">
        <v>420</v>
      </c>
      <c r="L155" s="2" t="s">
        <v>505</v>
      </c>
      <c r="M155" s="46" t="s">
        <v>506</v>
      </c>
      <c r="N155" s="2" t="s">
        <v>644</v>
      </c>
    </row>
    <row r="156" spans="3:14">
      <c r="C156" s="575" t="s">
        <v>1558</v>
      </c>
      <c r="D156" s="507" t="s">
        <v>654</v>
      </c>
      <c r="H156" s="4">
        <v>5.6</v>
      </c>
      <c r="I156" s="2" t="s">
        <v>420</v>
      </c>
      <c r="L156" s="507" t="s">
        <v>505</v>
      </c>
      <c r="M156" s="46" t="s">
        <v>508</v>
      </c>
    </row>
    <row r="157" spans="3:14">
      <c r="C157" s="575" t="s">
        <v>1559</v>
      </c>
      <c r="D157" s="507" t="s">
        <v>654</v>
      </c>
      <c r="H157" s="4">
        <v>65.2</v>
      </c>
      <c r="I157" s="2" t="s">
        <v>420</v>
      </c>
      <c r="L157" s="507" t="s">
        <v>505</v>
      </c>
      <c r="M157" s="46" t="s">
        <v>508</v>
      </c>
    </row>
    <row r="158" spans="3:14">
      <c r="C158" s="575" t="s">
        <v>1560</v>
      </c>
      <c r="D158" s="507" t="s">
        <v>654</v>
      </c>
      <c r="H158" s="4">
        <v>4</v>
      </c>
      <c r="I158" s="2" t="s">
        <v>420</v>
      </c>
      <c r="L158" s="507" t="s">
        <v>505</v>
      </c>
      <c r="M158" s="46" t="s">
        <v>508</v>
      </c>
    </row>
    <row r="159" spans="3:14">
      <c r="C159" s="592" t="s">
        <v>1561</v>
      </c>
      <c r="D159" s="361" t="s">
        <v>655</v>
      </c>
      <c r="E159" s="361"/>
      <c r="F159" s="361"/>
      <c r="G159" s="361"/>
      <c r="H159" s="4">
        <v>5.8</v>
      </c>
      <c r="I159" s="361" t="s">
        <v>420</v>
      </c>
      <c r="J159" s="361"/>
      <c r="K159" s="361"/>
      <c r="L159" s="361" t="s">
        <v>505</v>
      </c>
      <c r="M159" s="46" t="s">
        <v>508</v>
      </c>
    </row>
    <row r="160" spans="3:14">
      <c r="C160" s="592" t="s">
        <v>1562</v>
      </c>
      <c r="D160" s="361" t="s">
        <v>655</v>
      </c>
      <c r="E160" s="361"/>
      <c r="F160" s="361"/>
      <c r="G160" s="361"/>
      <c r="H160" s="4">
        <v>6.2</v>
      </c>
      <c r="I160" s="361" t="s">
        <v>420</v>
      </c>
      <c r="J160" s="361"/>
      <c r="K160" s="361"/>
      <c r="L160" s="361" t="s">
        <v>505</v>
      </c>
      <c r="M160" s="46" t="s">
        <v>508</v>
      </c>
    </row>
    <row r="161" spans="3:14" ht="22">
      <c r="C161" s="507" t="s">
        <v>1534</v>
      </c>
      <c r="D161" s="2" t="s">
        <v>645</v>
      </c>
      <c r="H161" s="4">
        <v>7.8999999999999996E-5</v>
      </c>
      <c r="I161" s="2" t="s">
        <v>420</v>
      </c>
      <c r="L161" s="2" t="s">
        <v>505</v>
      </c>
      <c r="M161" s="46" t="s">
        <v>506</v>
      </c>
      <c r="N161" s="2" t="s">
        <v>646</v>
      </c>
    </row>
    <row r="162" spans="3:14" ht="22">
      <c r="C162" s="507" t="s">
        <v>1535</v>
      </c>
      <c r="D162" s="2" t="s">
        <v>647</v>
      </c>
      <c r="H162" s="4">
        <v>4.1E-5</v>
      </c>
      <c r="I162" s="2" t="s">
        <v>420</v>
      </c>
      <c r="L162" s="2" t="s">
        <v>505</v>
      </c>
      <c r="M162" s="46" t="s">
        <v>506</v>
      </c>
      <c r="N162" s="2" t="s">
        <v>540</v>
      </c>
    </row>
    <row r="163" spans="3:14" ht="22">
      <c r="C163" s="507" t="s">
        <v>1536</v>
      </c>
      <c r="D163" s="2" t="s">
        <v>648</v>
      </c>
      <c r="H163" s="4">
        <v>285.59199999999998</v>
      </c>
      <c r="I163" s="2" t="s">
        <v>420</v>
      </c>
      <c r="L163" s="2" t="s">
        <v>505</v>
      </c>
      <c r="M163" s="46" t="s">
        <v>506</v>
      </c>
    </row>
    <row r="164" spans="3:14" ht="22">
      <c r="C164" s="507" t="s">
        <v>1537</v>
      </c>
      <c r="D164" s="2" t="s">
        <v>649</v>
      </c>
      <c r="H164" s="4">
        <v>305.90199999999999</v>
      </c>
      <c r="I164" s="2" t="s">
        <v>420</v>
      </c>
      <c r="L164" s="2" t="s">
        <v>505</v>
      </c>
      <c r="M164" s="46" t="s">
        <v>506</v>
      </c>
    </row>
    <row r="165" spans="3:14" ht="22">
      <c r="C165" s="507" t="s">
        <v>1538</v>
      </c>
      <c r="D165" s="2" t="s">
        <v>650</v>
      </c>
      <c r="H165" s="4">
        <v>326.21199999999999</v>
      </c>
      <c r="I165" s="2" t="s">
        <v>420</v>
      </c>
      <c r="L165" s="2" t="s">
        <v>505</v>
      </c>
      <c r="M165" s="46" t="s">
        <v>506</v>
      </c>
    </row>
    <row r="166" spans="3:14" ht="22">
      <c r="C166" s="507" t="s">
        <v>1539</v>
      </c>
      <c r="D166" s="2" t="s">
        <v>651</v>
      </c>
      <c r="H166" s="4">
        <v>356.67700000000002</v>
      </c>
      <c r="I166" s="2" t="s">
        <v>420</v>
      </c>
      <c r="L166" s="2" t="s">
        <v>505</v>
      </c>
      <c r="M166" s="46" t="s">
        <v>506</v>
      </c>
    </row>
    <row r="167" spans="3:14" ht="22">
      <c r="C167" s="507" t="s">
        <v>1540</v>
      </c>
      <c r="D167" s="2" t="s">
        <v>652</v>
      </c>
      <c r="H167" s="4">
        <v>407.452</v>
      </c>
      <c r="I167" s="2" t="s">
        <v>420</v>
      </c>
      <c r="L167" s="2" t="s">
        <v>505</v>
      </c>
      <c r="M167" s="46" t="s">
        <v>506</v>
      </c>
    </row>
    <row r="168" spans="3:14" ht="22">
      <c r="C168" s="507" t="s">
        <v>1541</v>
      </c>
      <c r="D168" s="2" t="s">
        <v>653</v>
      </c>
      <c r="H168" s="4">
        <v>488.69200000000001</v>
      </c>
      <c r="I168" s="2" t="s">
        <v>420</v>
      </c>
      <c r="L168" s="2" t="s">
        <v>505</v>
      </c>
      <c r="M168" s="46" t="s">
        <v>506</v>
      </c>
    </row>
    <row r="169" spans="3:14" ht="22">
      <c r="C169" s="575" t="s">
        <v>1563</v>
      </c>
      <c r="D169" s="2" t="s">
        <v>656</v>
      </c>
      <c r="H169" s="4">
        <v>1313</v>
      </c>
      <c r="I169" s="2" t="s">
        <v>420</v>
      </c>
      <c r="L169" s="2" t="s">
        <v>505</v>
      </c>
      <c r="M169" s="46" t="s">
        <v>506</v>
      </c>
    </row>
    <row r="170" spans="3:14" ht="22">
      <c r="C170" s="575" t="s">
        <v>1564</v>
      </c>
      <c r="D170" s="2" t="s">
        <v>657</v>
      </c>
      <c r="H170" s="4">
        <v>638</v>
      </c>
      <c r="I170" s="2" t="s">
        <v>420</v>
      </c>
      <c r="L170" s="2" t="s">
        <v>505</v>
      </c>
      <c r="M170" s="46" t="s">
        <v>506</v>
      </c>
    </row>
    <row r="171" spans="3:14" ht="22">
      <c r="C171" s="575" t="s">
        <v>1565</v>
      </c>
      <c r="D171" s="2" t="s">
        <v>658</v>
      </c>
      <c r="H171" s="4">
        <v>336</v>
      </c>
      <c r="I171" s="2" t="s">
        <v>420</v>
      </c>
      <c r="L171" s="2" t="s">
        <v>505</v>
      </c>
      <c r="M171" s="46" t="s">
        <v>506</v>
      </c>
    </row>
    <row r="172" spans="3:14" ht="22">
      <c r="C172" s="575" t="s">
        <v>1566</v>
      </c>
      <c r="D172" s="2" t="s">
        <v>659</v>
      </c>
      <c r="H172" s="4">
        <v>420</v>
      </c>
      <c r="I172" s="2" t="s">
        <v>420</v>
      </c>
      <c r="L172" s="2" t="s">
        <v>505</v>
      </c>
      <c r="M172" s="46" t="s">
        <v>506</v>
      </c>
    </row>
    <row r="173" spans="3:14" ht="22">
      <c r="C173" s="507" t="s">
        <v>1542</v>
      </c>
      <c r="D173" s="2" t="s">
        <v>661</v>
      </c>
      <c r="H173" s="4">
        <v>28</v>
      </c>
      <c r="I173" s="2" t="s">
        <v>420</v>
      </c>
      <c r="L173" s="2" t="s">
        <v>247</v>
      </c>
      <c r="M173" s="46" t="s">
        <v>506</v>
      </c>
    </row>
    <row r="174" spans="3:14" ht="22">
      <c r="C174" s="507" t="s">
        <v>1543</v>
      </c>
      <c r="D174" s="2" t="s">
        <v>662</v>
      </c>
      <c r="H174" s="4">
        <v>19</v>
      </c>
      <c r="I174" s="2" t="s">
        <v>420</v>
      </c>
      <c r="L174" s="2" t="s">
        <v>505</v>
      </c>
      <c r="M174" s="46" t="s">
        <v>506</v>
      </c>
    </row>
    <row r="175" spans="3:14">
      <c r="C175" s="592" t="s">
        <v>1552</v>
      </c>
      <c r="D175" s="361" t="s">
        <v>507</v>
      </c>
      <c r="E175" s="361"/>
      <c r="F175" s="361"/>
      <c r="G175" s="361"/>
      <c r="H175" s="4">
        <v>5.9</v>
      </c>
      <c r="I175" s="361" t="s">
        <v>420</v>
      </c>
      <c r="J175" s="361"/>
      <c r="K175" s="361"/>
      <c r="L175" s="361" t="s">
        <v>505</v>
      </c>
      <c r="M175" s="46" t="s">
        <v>508</v>
      </c>
    </row>
    <row r="176" spans="3:14">
      <c r="C176" s="592" t="s">
        <v>1553</v>
      </c>
      <c r="D176" s="361" t="s">
        <v>507</v>
      </c>
      <c r="E176" s="361"/>
      <c r="F176" s="361"/>
      <c r="G176" s="361"/>
      <c r="H176" s="4">
        <v>13.9</v>
      </c>
      <c r="I176" s="361" t="s">
        <v>420</v>
      </c>
      <c r="J176" s="361"/>
      <c r="K176" s="361"/>
      <c r="L176" s="361" t="s">
        <v>505</v>
      </c>
      <c r="M176" s="46" t="s">
        <v>508</v>
      </c>
    </row>
    <row r="177" spans="3:14">
      <c r="C177" s="592" t="s">
        <v>1554</v>
      </c>
      <c r="D177" s="361" t="s">
        <v>660</v>
      </c>
      <c r="E177" s="361"/>
      <c r="F177" s="361"/>
      <c r="G177" s="361"/>
      <c r="H177" s="4">
        <v>18.600000000000001</v>
      </c>
      <c r="I177" s="361" t="s">
        <v>420</v>
      </c>
      <c r="J177" s="361"/>
      <c r="K177" s="361"/>
      <c r="L177" s="361" t="s">
        <v>505</v>
      </c>
      <c r="M177" s="46" t="s">
        <v>508</v>
      </c>
    </row>
    <row r="178" spans="3:14">
      <c r="C178" s="575" t="s">
        <v>1555</v>
      </c>
      <c r="D178" s="507" t="s">
        <v>507</v>
      </c>
      <c r="H178" s="4">
        <v>10</v>
      </c>
      <c r="I178" s="2" t="s">
        <v>420</v>
      </c>
      <c r="L178" s="507" t="s">
        <v>505</v>
      </c>
      <c r="M178" s="46" t="s">
        <v>508</v>
      </c>
    </row>
    <row r="179" spans="3:14">
      <c r="C179" s="575" t="s">
        <v>1556</v>
      </c>
      <c r="D179" s="507" t="s">
        <v>507</v>
      </c>
      <c r="H179" s="4">
        <v>84.4</v>
      </c>
      <c r="I179" s="2" t="s">
        <v>420</v>
      </c>
      <c r="L179" s="507" t="s">
        <v>505</v>
      </c>
      <c r="M179" s="46" t="s">
        <v>508</v>
      </c>
    </row>
    <row r="180" spans="3:14">
      <c r="C180" s="575" t="s">
        <v>1557</v>
      </c>
      <c r="D180" s="507" t="s">
        <v>507</v>
      </c>
      <c r="H180" s="4">
        <v>4</v>
      </c>
      <c r="I180" s="2" t="s">
        <v>420</v>
      </c>
      <c r="L180" s="507" t="s">
        <v>505</v>
      </c>
      <c r="M180" s="46" t="s">
        <v>508</v>
      </c>
    </row>
    <row r="181" spans="3:14" ht="22">
      <c r="C181" s="507" t="s">
        <v>1544</v>
      </c>
      <c r="D181" s="2" t="s">
        <v>663</v>
      </c>
      <c r="H181" s="4">
        <v>363</v>
      </c>
      <c r="I181" s="2" t="s">
        <v>420</v>
      </c>
      <c r="L181" s="2" t="s">
        <v>505</v>
      </c>
      <c r="M181" s="46" t="s">
        <v>506</v>
      </c>
    </row>
    <row r="182" spans="3:14" ht="22">
      <c r="C182" s="507" t="s">
        <v>1545</v>
      </c>
      <c r="D182" s="2" t="s">
        <v>664</v>
      </c>
      <c r="H182" s="4">
        <v>1.2</v>
      </c>
      <c r="I182" s="2" t="s">
        <v>420</v>
      </c>
      <c r="L182" s="2" t="s">
        <v>505</v>
      </c>
      <c r="M182" s="46" t="s">
        <v>506</v>
      </c>
    </row>
    <row r="183" spans="3:14">
      <c r="C183" s="361" t="s">
        <v>1546</v>
      </c>
      <c r="D183" s="361" t="s">
        <v>665</v>
      </c>
      <c r="E183" s="361"/>
      <c r="F183" s="361"/>
      <c r="G183" s="361"/>
      <c r="H183" s="4">
        <v>18.399999999999999</v>
      </c>
      <c r="I183" s="361" t="s">
        <v>420</v>
      </c>
      <c r="J183" s="361"/>
      <c r="K183" s="361"/>
      <c r="L183" s="361" t="s">
        <v>505</v>
      </c>
      <c r="M183" s="46" t="s">
        <v>508</v>
      </c>
    </row>
    <row r="184" spans="3:14">
      <c r="C184" s="361" t="s">
        <v>1547</v>
      </c>
      <c r="D184" s="361" t="s">
        <v>665</v>
      </c>
      <c r="E184" s="361"/>
      <c r="F184" s="361"/>
      <c r="G184" s="361"/>
      <c r="H184" s="4">
        <v>24.8</v>
      </c>
      <c r="I184" s="361" t="s">
        <v>420</v>
      </c>
      <c r="J184" s="361"/>
      <c r="K184" s="361"/>
      <c r="L184" s="361" t="s">
        <v>505</v>
      </c>
      <c r="M184" s="46" t="s">
        <v>508</v>
      </c>
    </row>
    <row r="185" spans="3:14">
      <c r="C185" s="361" t="s">
        <v>1548</v>
      </c>
      <c r="D185" s="361" t="s">
        <v>665</v>
      </c>
      <c r="E185" s="361"/>
      <c r="F185" s="361"/>
      <c r="G185" s="361"/>
      <c r="H185" s="4">
        <v>25.3</v>
      </c>
      <c r="I185" s="361" t="s">
        <v>420</v>
      </c>
      <c r="J185" s="361"/>
      <c r="K185" s="361"/>
      <c r="L185" s="361" t="s">
        <v>505</v>
      </c>
      <c r="M185" s="46" t="s">
        <v>508</v>
      </c>
    </row>
    <row r="186" spans="3:14">
      <c r="C186" s="507" t="s">
        <v>1549</v>
      </c>
      <c r="D186" s="507" t="s">
        <v>665</v>
      </c>
      <c r="H186" s="4">
        <v>135</v>
      </c>
      <c r="I186" s="2" t="s">
        <v>420</v>
      </c>
      <c r="L186" s="507" t="s">
        <v>505</v>
      </c>
      <c r="M186" s="46" t="s">
        <v>508</v>
      </c>
    </row>
    <row r="187" spans="3:14">
      <c r="C187" s="507" t="s">
        <v>1550</v>
      </c>
      <c r="D187" s="507" t="s">
        <v>665</v>
      </c>
      <c r="H187" s="4">
        <v>39.700000000000003</v>
      </c>
      <c r="I187" s="2" t="s">
        <v>420</v>
      </c>
      <c r="L187" s="507" t="s">
        <v>505</v>
      </c>
      <c r="M187" s="46" t="s">
        <v>508</v>
      </c>
    </row>
    <row r="188" spans="3:14">
      <c r="C188" s="592" t="s">
        <v>1567</v>
      </c>
      <c r="D188" s="361" t="s">
        <v>666</v>
      </c>
      <c r="E188" s="361"/>
      <c r="F188" s="361"/>
      <c r="G188" s="361"/>
      <c r="H188" s="4">
        <v>6.3</v>
      </c>
      <c r="I188" s="361" t="s">
        <v>420</v>
      </c>
      <c r="J188" s="361"/>
      <c r="K188" s="361"/>
      <c r="L188" s="361" t="s">
        <v>505</v>
      </c>
      <c r="M188" s="160" t="s">
        <v>508</v>
      </c>
    </row>
    <row r="189" spans="3:14">
      <c r="C189" s="507" t="s">
        <v>1551</v>
      </c>
      <c r="D189" s="2" t="s">
        <v>667</v>
      </c>
      <c r="E189" s="4"/>
      <c r="F189" s="4"/>
      <c r="G189" s="4"/>
      <c r="H189" s="4">
        <v>213</v>
      </c>
      <c r="I189" s="2" t="s">
        <v>420</v>
      </c>
      <c r="J189" s="4">
        <v>2102.4</v>
      </c>
      <c r="K189" s="2" t="s">
        <v>421</v>
      </c>
      <c r="L189" s="2" t="s">
        <v>668</v>
      </c>
      <c r="M189" s="45" t="s">
        <v>669</v>
      </c>
    </row>
    <row r="190" spans="3:14" ht="22">
      <c r="C190" s="507" t="s">
        <v>1645</v>
      </c>
      <c r="D190" s="2" t="s">
        <v>794</v>
      </c>
      <c r="H190" s="4">
        <v>6.45</v>
      </c>
      <c r="I190" s="2" t="s">
        <v>420</v>
      </c>
      <c r="L190" s="2" t="s">
        <v>505</v>
      </c>
      <c r="M190" s="46" t="s">
        <v>506</v>
      </c>
      <c r="N190" s="2" t="s">
        <v>795</v>
      </c>
    </row>
    <row r="191" spans="3:14" ht="22">
      <c r="C191" s="507" t="s">
        <v>1646</v>
      </c>
      <c r="D191" s="2" t="s">
        <v>796</v>
      </c>
      <c r="H191" s="4">
        <v>377</v>
      </c>
      <c r="I191" s="2" t="s">
        <v>420</v>
      </c>
      <c r="L191" s="2" t="s">
        <v>505</v>
      </c>
      <c r="M191" s="46" t="s">
        <v>506</v>
      </c>
    </row>
    <row r="192" spans="3:14" ht="22">
      <c r="C192" s="507" t="s">
        <v>1647</v>
      </c>
      <c r="D192" s="2" t="s">
        <v>797</v>
      </c>
      <c r="H192" s="4">
        <v>2654</v>
      </c>
      <c r="I192" s="2" t="s">
        <v>420</v>
      </c>
      <c r="L192" s="2" t="s">
        <v>505</v>
      </c>
      <c r="M192" s="46" t="s">
        <v>506</v>
      </c>
    </row>
    <row r="193" spans="3:14" ht="22">
      <c r="C193" s="507" t="s">
        <v>1648</v>
      </c>
      <c r="D193" s="2" t="s">
        <v>798</v>
      </c>
      <c r="H193" s="4">
        <v>195</v>
      </c>
      <c r="I193" s="2" t="s">
        <v>420</v>
      </c>
      <c r="L193" s="2" t="s">
        <v>505</v>
      </c>
      <c r="M193" s="46" t="s">
        <v>506</v>
      </c>
    </row>
    <row r="194" spans="3:14" ht="22">
      <c r="C194" s="507" t="s">
        <v>1649</v>
      </c>
      <c r="D194" s="2" t="s">
        <v>799</v>
      </c>
      <c r="H194" s="4">
        <v>105</v>
      </c>
      <c r="I194" s="2" t="s">
        <v>420</v>
      </c>
      <c r="L194" s="2" t="s">
        <v>505</v>
      </c>
      <c r="M194" s="46" t="s">
        <v>506</v>
      </c>
    </row>
    <row r="195" spans="3:14" ht="22">
      <c r="C195" s="507" t="s">
        <v>1650</v>
      </c>
      <c r="D195" s="2" t="s">
        <v>800</v>
      </c>
      <c r="H195" s="4">
        <v>6</v>
      </c>
      <c r="I195" s="2" t="s">
        <v>420</v>
      </c>
      <c r="L195" s="2" t="s">
        <v>505</v>
      </c>
      <c r="M195" s="46" t="s">
        <v>506</v>
      </c>
    </row>
    <row r="196" spans="3:14" ht="22">
      <c r="C196" s="507" t="s">
        <v>1651</v>
      </c>
      <c r="D196" s="2" t="s">
        <v>801</v>
      </c>
      <c r="H196" s="4">
        <v>4.36E-2</v>
      </c>
      <c r="I196" s="2" t="s">
        <v>420</v>
      </c>
      <c r="L196" s="2" t="s">
        <v>505</v>
      </c>
      <c r="M196" s="46" t="s">
        <v>506</v>
      </c>
    </row>
    <row r="197" spans="3:14" ht="22">
      <c r="C197" s="507" t="s">
        <v>1652</v>
      </c>
      <c r="D197" s="2" t="s">
        <v>802</v>
      </c>
      <c r="H197" s="4">
        <v>0.13600000000000001</v>
      </c>
      <c r="I197" s="2" t="s">
        <v>420</v>
      </c>
      <c r="L197" s="2" t="s">
        <v>505</v>
      </c>
      <c r="M197" s="46" t="s">
        <v>506</v>
      </c>
    </row>
    <row r="198" spans="3:14" ht="22">
      <c r="C198" s="507" t="s">
        <v>1653</v>
      </c>
      <c r="D198" s="2" t="s">
        <v>803</v>
      </c>
      <c r="H198" s="4">
        <v>17</v>
      </c>
      <c r="I198" s="2" t="s">
        <v>420</v>
      </c>
      <c r="L198" s="2" t="s">
        <v>505</v>
      </c>
      <c r="M198" s="46" t="s">
        <v>506</v>
      </c>
    </row>
    <row r="199" spans="3:14" ht="22">
      <c r="C199" s="507" t="s">
        <v>1654</v>
      </c>
      <c r="D199" s="2" t="s">
        <v>804</v>
      </c>
      <c r="H199" s="4">
        <v>43</v>
      </c>
      <c r="I199" s="2" t="s">
        <v>420</v>
      </c>
      <c r="L199" s="2" t="s">
        <v>505</v>
      </c>
      <c r="M199" s="46" t="s">
        <v>506</v>
      </c>
    </row>
    <row r="200" spans="3:14" ht="22">
      <c r="C200" s="507" t="s">
        <v>1655</v>
      </c>
      <c r="D200" s="2" t="s">
        <v>805</v>
      </c>
      <c r="H200" s="4">
        <v>28</v>
      </c>
      <c r="I200" s="2" t="s">
        <v>420</v>
      </c>
      <c r="L200" s="2" t="s">
        <v>505</v>
      </c>
      <c r="M200" s="46" t="s">
        <v>506</v>
      </c>
    </row>
    <row r="201" spans="3:14" ht="22">
      <c r="C201" s="507" t="s">
        <v>1656</v>
      </c>
      <c r="D201" s="2" t="s">
        <v>806</v>
      </c>
      <c r="H201" s="4">
        <v>3.8E-3</v>
      </c>
      <c r="I201" s="2" t="s">
        <v>420</v>
      </c>
      <c r="L201" s="2" t="s">
        <v>505</v>
      </c>
      <c r="M201" s="46" t="s">
        <v>506</v>
      </c>
      <c r="N201" s="2" t="s">
        <v>807</v>
      </c>
    </row>
    <row r="202" spans="3:14" ht="22">
      <c r="C202" s="507" t="s">
        <v>1657</v>
      </c>
      <c r="D202" s="2" t="s">
        <v>808</v>
      </c>
      <c r="H202" s="4">
        <v>2.3E-3</v>
      </c>
      <c r="I202" s="2" t="s">
        <v>420</v>
      </c>
      <c r="L202" s="2" t="s">
        <v>505</v>
      </c>
      <c r="M202" s="46" t="s">
        <v>506</v>
      </c>
      <c r="N202" s="2" t="s">
        <v>809</v>
      </c>
    </row>
    <row r="203" spans="3:14" ht="22">
      <c r="C203" s="507" t="s">
        <v>1658</v>
      </c>
      <c r="D203" s="2" t="s">
        <v>810</v>
      </c>
      <c r="H203" s="4">
        <v>2.9999999999999997E-4</v>
      </c>
      <c r="I203" s="2" t="s">
        <v>420</v>
      </c>
      <c r="L203" s="2" t="s">
        <v>505</v>
      </c>
      <c r="M203" s="46" t="s">
        <v>506</v>
      </c>
      <c r="N203" s="2" t="s">
        <v>811</v>
      </c>
    </row>
    <row r="204" spans="3:14">
      <c r="C204" s="507" t="s">
        <v>1659</v>
      </c>
      <c r="D204" s="507" t="s">
        <v>812</v>
      </c>
      <c r="H204" s="4">
        <v>65.599999999999994</v>
      </c>
      <c r="I204" s="2" t="s">
        <v>420</v>
      </c>
      <c r="L204" s="507" t="s">
        <v>505</v>
      </c>
      <c r="M204" s="46" t="s">
        <v>508</v>
      </c>
    </row>
    <row r="205" spans="3:14" ht="22">
      <c r="C205" s="507" t="s">
        <v>1660</v>
      </c>
      <c r="D205" s="2" t="s">
        <v>813</v>
      </c>
      <c r="H205" s="4">
        <v>1.7</v>
      </c>
      <c r="I205" s="2" t="s">
        <v>420</v>
      </c>
      <c r="L205" s="2" t="s">
        <v>505</v>
      </c>
      <c r="M205" s="46" t="s">
        <v>506</v>
      </c>
    </row>
    <row r="206" spans="3:14" ht="22">
      <c r="C206" s="507" t="s">
        <v>1661</v>
      </c>
      <c r="D206" s="2" t="s">
        <v>814</v>
      </c>
      <c r="H206" s="4">
        <v>1335</v>
      </c>
      <c r="I206" s="2" t="s">
        <v>420</v>
      </c>
      <c r="L206" s="2" t="s">
        <v>505</v>
      </c>
      <c r="M206" s="46" t="s">
        <v>506</v>
      </c>
    </row>
    <row r="207" spans="3:14" ht="22">
      <c r="C207" s="507" t="s">
        <v>1662</v>
      </c>
      <c r="D207" s="2" t="s">
        <v>815</v>
      </c>
      <c r="H207" s="4">
        <v>37</v>
      </c>
      <c r="I207" s="2" t="s">
        <v>420</v>
      </c>
      <c r="L207" s="2" t="s">
        <v>505</v>
      </c>
      <c r="M207" s="46" t="s">
        <v>506</v>
      </c>
    </row>
    <row r="208" spans="3:14" ht="22">
      <c r="C208" s="507" t="s">
        <v>1663</v>
      </c>
      <c r="D208" s="2" t="s">
        <v>816</v>
      </c>
      <c r="H208" s="4">
        <v>6.46</v>
      </c>
      <c r="I208" s="2" t="s">
        <v>420</v>
      </c>
      <c r="L208" s="2" t="s">
        <v>505</v>
      </c>
      <c r="M208" s="46" t="s">
        <v>506</v>
      </c>
    </row>
    <row r="209" spans="3:14" ht="22">
      <c r="C209" s="507" t="s">
        <v>1664</v>
      </c>
      <c r="D209" s="2" t="s">
        <v>817</v>
      </c>
      <c r="H209" s="4">
        <v>8.25</v>
      </c>
      <c r="I209" s="2" t="s">
        <v>420</v>
      </c>
      <c r="L209" s="2" t="s">
        <v>505</v>
      </c>
      <c r="M209" s="46" t="s">
        <v>506</v>
      </c>
    </row>
    <row r="210" spans="3:14" ht="22">
      <c r="C210" s="507" t="s">
        <v>1665</v>
      </c>
      <c r="D210" s="2" t="s">
        <v>818</v>
      </c>
      <c r="H210" s="4">
        <v>5.2600000000000001E-2</v>
      </c>
      <c r="I210" s="2" t="s">
        <v>420</v>
      </c>
      <c r="L210" s="2" t="s">
        <v>505</v>
      </c>
      <c r="M210" s="46" t="s">
        <v>506</v>
      </c>
      <c r="N210" s="2" t="s">
        <v>819</v>
      </c>
    </row>
    <row r="211" spans="3:14" ht="22">
      <c r="C211" s="507" t="s">
        <v>1666</v>
      </c>
      <c r="D211" s="2" t="s">
        <v>820</v>
      </c>
      <c r="H211" s="4">
        <v>2.53E-2</v>
      </c>
      <c r="I211" s="2" t="s">
        <v>420</v>
      </c>
      <c r="L211" s="2" t="s">
        <v>505</v>
      </c>
      <c r="M211" s="46" t="s">
        <v>506</v>
      </c>
      <c r="N211" s="2" t="s">
        <v>821</v>
      </c>
    </row>
    <row r="212" spans="3:14" ht="22">
      <c r="C212" s="507" t="s">
        <v>1667</v>
      </c>
      <c r="D212" s="2" t="s">
        <v>822</v>
      </c>
      <c r="H212" s="4">
        <v>8.3000000000000001E-3</v>
      </c>
      <c r="I212" s="2" t="s">
        <v>420</v>
      </c>
      <c r="L212" s="2" t="s">
        <v>505</v>
      </c>
      <c r="M212" s="46" t="s">
        <v>506</v>
      </c>
      <c r="N212" s="2" t="s">
        <v>823</v>
      </c>
    </row>
    <row r="213" spans="3:14" ht="22">
      <c r="C213" s="507" t="s">
        <v>1668</v>
      </c>
      <c r="D213" s="2" t="s">
        <v>824</v>
      </c>
      <c r="H213" s="4">
        <v>3.78</v>
      </c>
      <c r="I213" s="2" t="s">
        <v>420</v>
      </c>
      <c r="L213" s="2" t="s">
        <v>505</v>
      </c>
      <c r="M213" s="46" t="s">
        <v>506</v>
      </c>
    </row>
    <row r="214" spans="3:14" ht="22">
      <c r="C214" s="575" t="s">
        <v>1568</v>
      </c>
      <c r="D214" s="2" t="s">
        <v>670</v>
      </c>
      <c r="H214" s="2">
        <v>1.6999999999999999E-3</v>
      </c>
      <c r="I214" s="2" t="s">
        <v>420</v>
      </c>
      <c r="L214" s="507" t="s">
        <v>671</v>
      </c>
      <c r="M214" s="46" t="s">
        <v>672</v>
      </c>
      <c r="N214" s="2" t="s">
        <v>673</v>
      </c>
    </row>
    <row r="215" spans="3:14" ht="22">
      <c r="C215" s="575" t="s">
        <v>1569</v>
      </c>
      <c r="D215" s="2" t="s">
        <v>670</v>
      </c>
      <c r="H215" s="2">
        <v>1.4E-3</v>
      </c>
      <c r="I215" s="2" t="s">
        <v>420</v>
      </c>
      <c r="L215" s="507" t="s">
        <v>671</v>
      </c>
      <c r="M215" s="46" t="s">
        <v>674</v>
      </c>
      <c r="N215" s="2" t="s">
        <v>675</v>
      </c>
    </row>
    <row r="216" spans="3:14" ht="22">
      <c r="C216" s="575" t="s">
        <v>1570</v>
      </c>
      <c r="D216" s="2" t="s">
        <v>670</v>
      </c>
      <c r="H216" s="2">
        <v>7.3999999999999999E-4</v>
      </c>
      <c r="I216" s="2" t="s">
        <v>420</v>
      </c>
      <c r="L216" s="507" t="s">
        <v>671</v>
      </c>
      <c r="M216" s="46" t="s">
        <v>676</v>
      </c>
      <c r="N216" s="2" t="s">
        <v>677</v>
      </c>
    </row>
    <row r="217" spans="3:14" ht="22">
      <c r="C217" s="575" t="s">
        <v>1571</v>
      </c>
      <c r="D217" s="2" t="s">
        <v>678</v>
      </c>
      <c r="H217" s="2">
        <v>4.8000000000000001E-5</v>
      </c>
      <c r="I217" s="2" t="s">
        <v>420</v>
      </c>
      <c r="L217" s="507" t="s">
        <v>671</v>
      </c>
      <c r="M217" s="46" t="s">
        <v>679</v>
      </c>
      <c r="N217" s="2" t="s">
        <v>680</v>
      </c>
    </row>
    <row r="218" spans="3:14" ht="22">
      <c r="C218" s="575" t="s">
        <v>1572</v>
      </c>
      <c r="D218" s="2" t="s">
        <v>678</v>
      </c>
      <c r="H218" s="2">
        <v>4.0000000000000003E-5</v>
      </c>
      <c r="I218" s="2" t="s">
        <v>420</v>
      </c>
      <c r="L218" s="507" t="s">
        <v>671</v>
      </c>
      <c r="M218" s="46" t="s">
        <v>681</v>
      </c>
      <c r="N218" s="2" t="s">
        <v>682</v>
      </c>
    </row>
    <row r="219" spans="3:14" ht="22">
      <c r="C219" s="575" t="s">
        <v>1573</v>
      </c>
      <c r="D219" s="2" t="s">
        <v>678</v>
      </c>
      <c r="H219" s="2">
        <v>2.0999999999999999E-5</v>
      </c>
      <c r="I219" s="2" t="s">
        <v>420</v>
      </c>
      <c r="L219" s="507" t="s">
        <v>671</v>
      </c>
      <c r="M219" s="46" t="s">
        <v>683</v>
      </c>
      <c r="N219" s="2" t="s">
        <v>684</v>
      </c>
    </row>
    <row r="220" spans="3:14" ht="22">
      <c r="C220" s="575" t="s">
        <v>1574</v>
      </c>
      <c r="D220" s="2" t="s">
        <v>685</v>
      </c>
      <c r="H220" s="2">
        <v>1.4E-2</v>
      </c>
      <c r="I220" s="2" t="s">
        <v>420</v>
      </c>
      <c r="L220" s="507" t="s">
        <v>671</v>
      </c>
      <c r="M220" s="46" t="s">
        <v>686</v>
      </c>
      <c r="N220" s="2" t="s">
        <v>687</v>
      </c>
    </row>
    <row r="221" spans="3:14" ht="22">
      <c r="C221" s="575" t="s">
        <v>1575</v>
      </c>
      <c r="D221" s="2" t="s">
        <v>685</v>
      </c>
      <c r="H221" s="2">
        <v>1.0999999999999999E-2</v>
      </c>
      <c r="I221" s="2" t="s">
        <v>420</v>
      </c>
      <c r="L221" s="507" t="s">
        <v>671</v>
      </c>
      <c r="M221" s="46" t="s">
        <v>688</v>
      </c>
      <c r="N221" s="2" t="s">
        <v>689</v>
      </c>
    </row>
    <row r="222" spans="3:14" ht="22">
      <c r="C222" s="575" t="s">
        <v>1576</v>
      </c>
      <c r="D222" s="2" t="s">
        <v>685</v>
      </c>
      <c r="H222" s="2">
        <v>5.7999999999999996E-3</v>
      </c>
      <c r="I222" s="2" t="s">
        <v>420</v>
      </c>
      <c r="L222" s="507" t="s">
        <v>671</v>
      </c>
      <c r="M222" s="46" t="s">
        <v>690</v>
      </c>
      <c r="N222" s="2" t="s">
        <v>691</v>
      </c>
    </row>
    <row r="223" spans="3:14" ht="22">
      <c r="C223" s="575" t="s">
        <v>1577</v>
      </c>
      <c r="D223" s="2" t="s">
        <v>692</v>
      </c>
      <c r="H223" s="2">
        <v>7.1999999999999998E-3</v>
      </c>
      <c r="I223" s="2" t="s">
        <v>420</v>
      </c>
      <c r="L223" s="507" t="s">
        <v>671</v>
      </c>
      <c r="M223" s="46" t="s">
        <v>693</v>
      </c>
      <c r="N223" s="2" t="s">
        <v>694</v>
      </c>
    </row>
    <row r="224" spans="3:14" ht="22">
      <c r="C224" s="575" t="s">
        <v>1578</v>
      </c>
      <c r="D224" s="2" t="s">
        <v>692</v>
      </c>
      <c r="H224" s="2">
        <v>5.7000000000000002E-3</v>
      </c>
      <c r="I224" s="2" t="s">
        <v>420</v>
      </c>
      <c r="L224" s="507" t="s">
        <v>671</v>
      </c>
      <c r="M224" s="46" t="s">
        <v>695</v>
      </c>
      <c r="N224" s="2" t="s">
        <v>696</v>
      </c>
    </row>
    <row r="225" spans="3:14" ht="22">
      <c r="C225" s="575" t="s">
        <v>1579</v>
      </c>
      <c r="D225" s="2" t="s">
        <v>692</v>
      </c>
      <c r="H225" s="2">
        <v>3.0999999999999999E-3</v>
      </c>
      <c r="I225" s="2" t="s">
        <v>420</v>
      </c>
      <c r="L225" s="507" t="s">
        <v>671</v>
      </c>
      <c r="M225" s="46" t="s">
        <v>697</v>
      </c>
      <c r="N225" s="2" t="s">
        <v>698</v>
      </c>
    </row>
    <row r="226" spans="3:14" ht="22">
      <c r="C226" s="575" t="s">
        <v>1580</v>
      </c>
      <c r="D226" s="2" t="s">
        <v>699</v>
      </c>
      <c r="H226" s="2">
        <v>2.5000000000000001E-3</v>
      </c>
      <c r="I226" s="2" t="s">
        <v>420</v>
      </c>
      <c r="L226" s="507" t="s">
        <v>671</v>
      </c>
      <c r="M226" s="46" t="s">
        <v>700</v>
      </c>
      <c r="N226" s="2" t="s">
        <v>701</v>
      </c>
    </row>
    <row r="227" spans="3:14" ht="22">
      <c r="C227" s="575" t="s">
        <v>1581</v>
      </c>
      <c r="D227" s="2" t="s">
        <v>699</v>
      </c>
      <c r="H227" s="2">
        <v>2E-3</v>
      </c>
      <c r="I227" s="2" t="s">
        <v>420</v>
      </c>
      <c r="L227" s="507" t="s">
        <v>671</v>
      </c>
      <c r="M227" s="46" t="s">
        <v>702</v>
      </c>
      <c r="N227" s="2" t="s">
        <v>703</v>
      </c>
    </row>
    <row r="228" spans="3:14" ht="22">
      <c r="C228" s="575" t="s">
        <v>1582</v>
      </c>
      <c r="D228" s="2" t="s">
        <v>699</v>
      </c>
      <c r="H228" s="2">
        <v>1.1000000000000001E-3</v>
      </c>
      <c r="I228" s="2" t="s">
        <v>420</v>
      </c>
      <c r="L228" s="507" t="s">
        <v>671</v>
      </c>
      <c r="M228" s="46" t="s">
        <v>704</v>
      </c>
      <c r="N228" s="2" t="s">
        <v>705</v>
      </c>
    </row>
    <row r="229" spans="3:14" ht="22">
      <c r="C229" s="575" t="s">
        <v>1583</v>
      </c>
      <c r="D229" s="2" t="s">
        <v>706</v>
      </c>
      <c r="H229" s="2">
        <v>4.4999999999999998E-2</v>
      </c>
      <c r="I229" s="2" t="s">
        <v>420</v>
      </c>
      <c r="L229" s="507" t="s">
        <v>671</v>
      </c>
      <c r="M229" s="46" t="s">
        <v>707</v>
      </c>
      <c r="N229" s="2" t="s">
        <v>687</v>
      </c>
    </row>
    <row r="230" spans="3:14" ht="22">
      <c r="C230" s="575" t="s">
        <v>1584</v>
      </c>
      <c r="D230" s="2" t="s">
        <v>706</v>
      </c>
      <c r="H230" s="2">
        <v>3.5000000000000003E-2</v>
      </c>
      <c r="I230" s="2" t="s">
        <v>420</v>
      </c>
      <c r="L230" s="507" t="s">
        <v>671</v>
      </c>
      <c r="M230" s="46" t="s">
        <v>708</v>
      </c>
      <c r="N230" s="2" t="s">
        <v>689</v>
      </c>
    </row>
    <row r="231" spans="3:14" ht="22">
      <c r="C231" s="575" t="s">
        <v>1585</v>
      </c>
      <c r="D231" s="2" t="s">
        <v>706</v>
      </c>
      <c r="H231" s="2">
        <v>1.9E-2</v>
      </c>
      <c r="I231" s="2" t="s">
        <v>420</v>
      </c>
      <c r="L231" s="507" t="s">
        <v>671</v>
      </c>
      <c r="M231" s="46" t="s">
        <v>709</v>
      </c>
      <c r="N231" s="2" t="s">
        <v>691</v>
      </c>
    </row>
    <row r="232" spans="3:14" ht="22">
      <c r="C232" s="575" t="s">
        <v>1586</v>
      </c>
      <c r="D232" s="2" t="s">
        <v>710</v>
      </c>
      <c r="H232" s="2">
        <v>6.7999999999999996E-3</v>
      </c>
      <c r="I232" s="2" t="s">
        <v>420</v>
      </c>
      <c r="L232" s="507" t="s">
        <v>671</v>
      </c>
      <c r="M232" s="46" t="s">
        <v>711</v>
      </c>
      <c r="N232" s="2" t="s">
        <v>673</v>
      </c>
    </row>
    <row r="233" spans="3:14" ht="22">
      <c r="C233" s="575" t="s">
        <v>1587</v>
      </c>
      <c r="D233" s="2" t="s">
        <v>710</v>
      </c>
      <c r="H233" s="2">
        <v>5.4000000000000003E-3</v>
      </c>
      <c r="I233" s="2" t="s">
        <v>420</v>
      </c>
      <c r="L233" s="507" t="s">
        <v>671</v>
      </c>
      <c r="M233" s="46" t="s">
        <v>712</v>
      </c>
      <c r="N233" s="2" t="s">
        <v>675</v>
      </c>
    </row>
    <row r="234" spans="3:14" ht="22">
      <c r="C234" s="575" t="s">
        <v>1588</v>
      </c>
      <c r="D234" s="2" t="s">
        <v>710</v>
      </c>
      <c r="H234" s="2">
        <v>2.8999999999999998E-3</v>
      </c>
      <c r="I234" s="2" t="s">
        <v>420</v>
      </c>
      <c r="L234" s="507" t="s">
        <v>671</v>
      </c>
      <c r="M234" s="46" t="s">
        <v>713</v>
      </c>
      <c r="N234" s="2" t="s">
        <v>677</v>
      </c>
    </row>
    <row r="235" spans="3:14" ht="22">
      <c r="C235" s="575" t="s">
        <v>1589</v>
      </c>
      <c r="D235" s="2" t="s">
        <v>714</v>
      </c>
      <c r="H235" s="2">
        <v>1.7000000000000001E-4</v>
      </c>
      <c r="I235" s="2" t="s">
        <v>420</v>
      </c>
      <c r="L235" s="507" t="s">
        <v>671</v>
      </c>
      <c r="M235" s="46" t="s">
        <v>715</v>
      </c>
      <c r="N235" s="2" t="s">
        <v>687</v>
      </c>
    </row>
    <row r="236" spans="3:14" ht="22">
      <c r="C236" s="575" t="s">
        <v>1590</v>
      </c>
      <c r="D236" s="2" t="s">
        <v>714</v>
      </c>
      <c r="H236" s="2">
        <v>1.2999999999999999E-4</v>
      </c>
      <c r="I236" s="2" t="s">
        <v>420</v>
      </c>
      <c r="L236" s="507" t="s">
        <v>671</v>
      </c>
      <c r="M236" s="46" t="s">
        <v>716</v>
      </c>
      <c r="N236" s="2" t="s">
        <v>689</v>
      </c>
    </row>
    <row r="237" spans="3:14" ht="22">
      <c r="C237" s="575" t="s">
        <v>1591</v>
      </c>
      <c r="D237" s="2" t="s">
        <v>714</v>
      </c>
      <c r="H237" s="2">
        <v>6.9999999999999994E-5</v>
      </c>
      <c r="I237" s="2" t="s">
        <v>420</v>
      </c>
      <c r="L237" s="507" t="s">
        <v>671</v>
      </c>
      <c r="M237" s="46" t="s">
        <v>717</v>
      </c>
      <c r="N237" s="2" t="s">
        <v>691</v>
      </c>
    </row>
    <row r="238" spans="3:14" ht="22">
      <c r="C238" s="575" t="s">
        <v>1592</v>
      </c>
      <c r="D238" s="2" t="s">
        <v>718</v>
      </c>
      <c r="H238" s="2">
        <v>1.4999999999999999E-2</v>
      </c>
      <c r="I238" s="2" t="s">
        <v>420</v>
      </c>
      <c r="L238" s="507" t="s">
        <v>671</v>
      </c>
      <c r="M238" s="46" t="s">
        <v>719</v>
      </c>
      <c r="N238" s="2" t="s">
        <v>680</v>
      </c>
    </row>
    <row r="239" spans="3:14" ht="22">
      <c r="C239" s="575" t="s">
        <v>1593</v>
      </c>
      <c r="D239" s="2" t="s">
        <v>718</v>
      </c>
      <c r="H239" s="2">
        <v>1.2E-2</v>
      </c>
      <c r="I239" s="2" t="s">
        <v>420</v>
      </c>
      <c r="L239" s="507" t="s">
        <v>671</v>
      </c>
      <c r="M239" s="46" t="s">
        <v>720</v>
      </c>
      <c r="N239" s="2" t="s">
        <v>682</v>
      </c>
    </row>
    <row r="240" spans="3:14" ht="22">
      <c r="C240" s="575" t="s">
        <v>1594</v>
      </c>
      <c r="D240" s="2" t="s">
        <v>718</v>
      </c>
      <c r="H240" s="2">
        <v>6.6E-3</v>
      </c>
      <c r="I240" s="2" t="s">
        <v>420</v>
      </c>
      <c r="L240" s="507" t="s">
        <v>671</v>
      </c>
      <c r="M240" s="46" t="s">
        <v>721</v>
      </c>
      <c r="N240" s="2" t="s">
        <v>684</v>
      </c>
    </row>
    <row r="241" spans="3:14" ht="22">
      <c r="C241" s="575" t="s">
        <v>1595</v>
      </c>
      <c r="D241" s="2" t="s">
        <v>722</v>
      </c>
      <c r="H241" s="2">
        <v>6.4000000000000001E-2</v>
      </c>
      <c r="I241" s="2" t="s">
        <v>420</v>
      </c>
      <c r="L241" s="507" t="s">
        <v>671</v>
      </c>
      <c r="M241" s="46" t="s">
        <v>723</v>
      </c>
      <c r="N241" s="2" t="s">
        <v>724</v>
      </c>
    </row>
    <row r="242" spans="3:14" ht="22">
      <c r="C242" s="575" t="s">
        <v>1596</v>
      </c>
      <c r="D242" s="2" t="s">
        <v>722</v>
      </c>
      <c r="H242" s="2">
        <v>5.1999999999999998E-2</v>
      </c>
      <c r="I242" s="2" t="s">
        <v>420</v>
      </c>
      <c r="L242" s="507" t="s">
        <v>671</v>
      </c>
      <c r="M242" s="46" t="s">
        <v>725</v>
      </c>
      <c r="N242" s="2" t="s">
        <v>726</v>
      </c>
    </row>
    <row r="243" spans="3:14" ht="22">
      <c r="C243" s="575" t="s">
        <v>1597</v>
      </c>
      <c r="D243" s="2" t="s">
        <v>722</v>
      </c>
      <c r="H243" s="2">
        <v>3.2000000000000001E-2</v>
      </c>
      <c r="I243" s="2" t="s">
        <v>420</v>
      </c>
      <c r="L243" s="507" t="s">
        <v>671</v>
      </c>
      <c r="M243" s="46" t="s">
        <v>727</v>
      </c>
      <c r="N243" s="2" t="s">
        <v>728</v>
      </c>
    </row>
    <row r="244" spans="3:14" ht="22">
      <c r="C244" s="575" t="s">
        <v>1598</v>
      </c>
      <c r="D244" s="2" t="s">
        <v>729</v>
      </c>
      <c r="H244" s="2">
        <v>1E-3</v>
      </c>
      <c r="I244" s="2" t="s">
        <v>420</v>
      </c>
      <c r="L244" s="507" t="s">
        <v>671</v>
      </c>
      <c r="M244" s="46" t="s">
        <v>730</v>
      </c>
      <c r="N244" s="2" t="s">
        <v>673</v>
      </c>
    </row>
    <row r="245" spans="3:14" ht="22">
      <c r="C245" s="575" t="s">
        <v>1599</v>
      </c>
      <c r="D245" s="2" t="s">
        <v>729</v>
      </c>
      <c r="H245" s="2">
        <v>7.9000000000000001E-4</v>
      </c>
      <c r="I245" s="2" t="s">
        <v>420</v>
      </c>
      <c r="L245" s="507" t="s">
        <v>671</v>
      </c>
      <c r="M245" s="46" t="s">
        <v>731</v>
      </c>
      <c r="N245" s="2" t="s">
        <v>675</v>
      </c>
    </row>
    <row r="246" spans="3:14" ht="22">
      <c r="C246" s="575" t="s">
        <v>1600</v>
      </c>
      <c r="D246" s="2" t="s">
        <v>729</v>
      </c>
      <c r="H246" s="2">
        <v>4.2999999999999999E-4</v>
      </c>
      <c r="I246" s="2" t="s">
        <v>420</v>
      </c>
      <c r="L246" s="507" t="s">
        <v>671</v>
      </c>
      <c r="M246" s="46" t="s">
        <v>732</v>
      </c>
      <c r="N246" s="2" t="s">
        <v>677</v>
      </c>
    </row>
    <row r="247" spans="3:14" ht="22">
      <c r="C247" s="575" t="s">
        <v>1601</v>
      </c>
      <c r="D247" s="2" t="s">
        <v>733</v>
      </c>
      <c r="H247" s="2">
        <v>5.0000000000000001E-3</v>
      </c>
      <c r="I247" s="2" t="s">
        <v>420</v>
      </c>
      <c r="L247" s="507" t="s">
        <v>671</v>
      </c>
      <c r="M247" s="46" t="s">
        <v>734</v>
      </c>
      <c r="N247" s="2" t="s">
        <v>673</v>
      </c>
    </row>
    <row r="248" spans="3:14" ht="22">
      <c r="C248" s="2" t="s">
        <v>735</v>
      </c>
      <c r="D248" s="2" t="s">
        <v>733</v>
      </c>
      <c r="H248" s="2">
        <v>4.0000000000000001E-3</v>
      </c>
      <c r="I248" s="2" t="s">
        <v>420</v>
      </c>
      <c r="L248" s="507" t="s">
        <v>671</v>
      </c>
      <c r="M248" s="46" t="s">
        <v>736</v>
      </c>
      <c r="N248" s="2" t="s">
        <v>675</v>
      </c>
    </row>
    <row r="249" spans="3:14" ht="22">
      <c r="C249" s="575" t="s">
        <v>1602</v>
      </c>
      <c r="D249" s="2" t="s">
        <v>733</v>
      </c>
      <c r="H249" s="2">
        <v>2.0999999999999999E-3</v>
      </c>
      <c r="I249" s="2" t="s">
        <v>420</v>
      </c>
      <c r="L249" s="507" t="s">
        <v>671</v>
      </c>
      <c r="M249" s="46" t="s">
        <v>737</v>
      </c>
      <c r="N249" s="2" t="s">
        <v>677</v>
      </c>
    </row>
    <row r="250" spans="3:14" ht="22">
      <c r="C250" s="575" t="s">
        <v>1603</v>
      </c>
      <c r="D250" s="2" t="s">
        <v>738</v>
      </c>
      <c r="H250" s="2">
        <v>9.7000000000000003E-3</v>
      </c>
      <c r="I250" s="2" t="s">
        <v>420</v>
      </c>
      <c r="L250" s="507" t="s">
        <v>671</v>
      </c>
      <c r="M250" s="46" t="s">
        <v>739</v>
      </c>
      <c r="N250" s="2" t="s">
        <v>694</v>
      </c>
    </row>
    <row r="251" spans="3:14" ht="22">
      <c r="C251" s="575" t="s">
        <v>1604</v>
      </c>
      <c r="D251" s="2" t="s">
        <v>738</v>
      </c>
      <c r="H251" s="2">
        <v>7.6E-3</v>
      </c>
      <c r="I251" s="2" t="s">
        <v>420</v>
      </c>
      <c r="L251" s="507" t="s">
        <v>671</v>
      </c>
      <c r="M251" s="46" t="s">
        <v>740</v>
      </c>
      <c r="N251" s="2" t="s">
        <v>696</v>
      </c>
    </row>
    <row r="252" spans="3:14" ht="22">
      <c r="C252" s="575" t="s">
        <v>1605</v>
      </c>
      <c r="D252" s="2" t="s">
        <v>738</v>
      </c>
      <c r="H252" s="2">
        <v>4.1000000000000003E-3</v>
      </c>
      <c r="I252" s="2" t="s">
        <v>420</v>
      </c>
      <c r="L252" s="507" t="s">
        <v>671</v>
      </c>
      <c r="M252" s="46" t="s">
        <v>741</v>
      </c>
      <c r="N252" s="2" t="s">
        <v>698</v>
      </c>
    </row>
    <row r="253" spans="3:14" ht="22">
      <c r="C253" s="575" t="s">
        <v>1606</v>
      </c>
      <c r="D253" s="2" t="s">
        <v>742</v>
      </c>
      <c r="H253" s="2">
        <v>0.01</v>
      </c>
      <c r="I253" s="2" t="s">
        <v>420</v>
      </c>
      <c r="L253" s="507" t="s">
        <v>671</v>
      </c>
      <c r="M253" s="46" t="s">
        <v>743</v>
      </c>
      <c r="N253" s="2" t="s">
        <v>694</v>
      </c>
    </row>
    <row r="254" spans="3:14" ht="22">
      <c r="C254" s="575" t="s">
        <v>1607</v>
      </c>
      <c r="D254" s="2" t="s">
        <v>742</v>
      </c>
      <c r="H254" s="2">
        <v>8.0999999999999996E-3</v>
      </c>
      <c r="I254" s="2" t="s">
        <v>420</v>
      </c>
      <c r="L254" s="507" t="s">
        <v>671</v>
      </c>
      <c r="M254" s="46" t="s">
        <v>744</v>
      </c>
      <c r="N254" s="2" t="s">
        <v>696</v>
      </c>
    </row>
    <row r="255" spans="3:14" ht="22">
      <c r="C255" s="575" t="s">
        <v>1608</v>
      </c>
      <c r="D255" s="2" t="s">
        <v>742</v>
      </c>
      <c r="H255" s="2">
        <v>4.4000000000000003E-3</v>
      </c>
      <c r="I255" s="2" t="s">
        <v>420</v>
      </c>
      <c r="L255" s="507" t="s">
        <v>671</v>
      </c>
      <c r="M255" s="46" t="s">
        <v>745</v>
      </c>
      <c r="N255" s="2" t="s">
        <v>698</v>
      </c>
    </row>
    <row r="256" spans="3:14" ht="22">
      <c r="C256" s="575" t="s">
        <v>1609</v>
      </c>
      <c r="D256" s="2" t="s">
        <v>746</v>
      </c>
      <c r="H256" s="2">
        <v>2.0999999999999999E-3</v>
      </c>
      <c r="I256" s="2" t="s">
        <v>420</v>
      </c>
      <c r="L256" s="507" t="s">
        <v>671</v>
      </c>
      <c r="M256" s="46" t="s">
        <v>747</v>
      </c>
      <c r="N256" s="2" t="s">
        <v>673</v>
      </c>
    </row>
    <row r="257" spans="3:14" ht="22">
      <c r="C257" s="575" t="s">
        <v>1610</v>
      </c>
      <c r="D257" s="2" t="s">
        <v>746</v>
      </c>
      <c r="H257" s="2">
        <v>1.6999999999999999E-3</v>
      </c>
      <c r="I257" s="2" t="s">
        <v>420</v>
      </c>
      <c r="L257" s="507" t="s">
        <v>671</v>
      </c>
      <c r="M257" s="46" t="s">
        <v>748</v>
      </c>
      <c r="N257" s="2" t="s">
        <v>675</v>
      </c>
    </row>
    <row r="258" spans="3:14" ht="22">
      <c r="C258" s="575" t="s">
        <v>1611</v>
      </c>
      <c r="D258" s="2" t="s">
        <v>746</v>
      </c>
      <c r="H258" s="2">
        <v>9.1E-4</v>
      </c>
      <c r="I258" s="2" t="s">
        <v>420</v>
      </c>
      <c r="L258" s="507" t="s">
        <v>671</v>
      </c>
      <c r="M258" s="46" t="s">
        <v>749</v>
      </c>
      <c r="N258" s="2" t="s">
        <v>677</v>
      </c>
    </row>
    <row r="259" spans="3:14" ht="22">
      <c r="C259" s="575" t="s">
        <v>1612</v>
      </c>
      <c r="D259" s="2" t="s">
        <v>750</v>
      </c>
      <c r="H259" s="2">
        <v>2.2000000000000001E-3</v>
      </c>
      <c r="I259" s="2" t="s">
        <v>420</v>
      </c>
      <c r="L259" s="507" t="s">
        <v>671</v>
      </c>
      <c r="M259" s="46" t="s">
        <v>751</v>
      </c>
      <c r="N259" s="2" t="s">
        <v>687</v>
      </c>
    </row>
    <row r="260" spans="3:14" ht="22">
      <c r="C260" s="575" t="s">
        <v>1613</v>
      </c>
      <c r="D260" s="2" t="s">
        <v>750</v>
      </c>
      <c r="H260" s="2">
        <v>1.8E-3</v>
      </c>
      <c r="I260" s="2" t="s">
        <v>420</v>
      </c>
      <c r="L260" s="507" t="s">
        <v>671</v>
      </c>
      <c r="M260" s="46" t="s">
        <v>752</v>
      </c>
      <c r="N260" s="2" t="s">
        <v>689</v>
      </c>
    </row>
    <row r="261" spans="3:14" ht="22">
      <c r="C261" s="575" t="s">
        <v>1614</v>
      </c>
      <c r="D261" s="2" t="s">
        <v>750</v>
      </c>
      <c r="H261" s="2">
        <v>9.6000000000000002E-4</v>
      </c>
      <c r="I261" s="2" t="s">
        <v>420</v>
      </c>
      <c r="L261" s="507" t="s">
        <v>671</v>
      </c>
      <c r="M261" s="46" t="s">
        <v>753</v>
      </c>
      <c r="N261" s="2" t="s">
        <v>691</v>
      </c>
    </row>
    <row r="262" spans="3:14" ht="22">
      <c r="C262" s="575" t="s">
        <v>1615</v>
      </c>
      <c r="D262" s="2" t="s">
        <v>754</v>
      </c>
      <c r="H262" s="2">
        <v>1.6999999999999999E-3</v>
      </c>
      <c r="I262" s="2" t="s">
        <v>420</v>
      </c>
      <c r="L262" s="507" t="s">
        <v>671</v>
      </c>
      <c r="M262" s="46" t="s">
        <v>755</v>
      </c>
      <c r="N262" s="2" t="s">
        <v>694</v>
      </c>
    </row>
    <row r="263" spans="3:14" ht="22">
      <c r="C263" s="575" t="s">
        <v>1616</v>
      </c>
      <c r="D263" s="2" t="s">
        <v>754</v>
      </c>
      <c r="H263" s="2">
        <v>1.2999999999999999E-3</v>
      </c>
      <c r="I263" s="2" t="s">
        <v>420</v>
      </c>
      <c r="L263" s="507" t="s">
        <v>671</v>
      </c>
      <c r="M263" s="46" t="s">
        <v>756</v>
      </c>
      <c r="N263" s="2" t="s">
        <v>696</v>
      </c>
    </row>
    <row r="264" spans="3:14" ht="22">
      <c r="C264" s="575" t="s">
        <v>1617</v>
      </c>
      <c r="D264" s="2" t="s">
        <v>754</v>
      </c>
      <c r="H264" s="2">
        <v>7.2000000000000005E-4</v>
      </c>
      <c r="I264" s="2" t="s">
        <v>420</v>
      </c>
      <c r="L264" s="507" t="s">
        <v>671</v>
      </c>
      <c r="M264" s="46" t="s">
        <v>757</v>
      </c>
      <c r="N264" s="2" t="s">
        <v>698</v>
      </c>
    </row>
    <row r="265" spans="3:14" ht="22">
      <c r="C265" s="575" t="s">
        <v>1618</v>
      </c>
      <c r="D265" s="2" t="s">
        <v>758</v>
      </c>
      <c r="H265" s="2">
        <v>1.6999999999999999E-3</v>
      </c>
      <c r="I265" s="2" t="s">
        <v>420</v>
      </c>
      <c r="L265" s="507" t="s">
        <v>671</v>
      </c>
      <c r="M265" s="46" t="s">
        <v>759</v>
      </c>
      <c r="N265" s="2" t="s">
        <v>673</v>
      </c>
    </row>
    <row r="266" spans="3:14" ht="22">
      <c r="C266" s="575" t="s">
        <v>1619</v>
      </c>
      <c r="D266" s="2" t="s">
        <v>758</v>
      </c>
      <c r="H266" s="2">
        <v>1.2999999999999999E-3</v>
      </c>
      <c r="I266" s="2" t="s">
        <v>420</v>
      </c>
      <c r="L266" s="507" t="s">
        <v>671</v>
      </c>
      <c r="M266" s="46" t="s">
        <v>760</v>
      </c>
      <c r="N266" s="2" t="s">
        <v>675</v>
      </c>
    </row>
    <row r="267" spans="3:14" ht="22">
      <c r="C267" s="575" t="s">
        <v>1620</v>
      </c>
      <c r="D267" s="2" t="s">
        <v>758</v>
      </c>
      <c r="H267" s="2">
        <v>7.2000000000000005E-4</v>
      </c>
      <c r="I267" s="2" t="s">
        <v>420</v>
      </c>
      <c r="L267" s="507" t="s">
        <v>671</v>
      </c>
      <c r="M267" s="46" t="s">
        <v>761</v>
      </c>
      <c r="N267" s="2" t="s">
        <v>677</v>
      </c>
    </row>
    <row r="268" spans="3:14" ht="22">
      <c r="C268" s="575" t="s">
        <v>1621</v>
      </c>
      <c r="D268" s="2" t="s">
        <v>762</v>
      </c>
      <c r="H268" s="2">
        <v>4.2999999999999999E-4</v>
      </c>
      <c r="I268" s="2" t="s">
        <v>420</v>
      </c>
      <c r="L268" s="507" t="s">
        <v>671</v>
      </c>
      <c r="M268" s="46" t="s">
        <v>763</v>
      </c>
      <c r="N268" s="2" t="s">
        <v>680</v>
      </c>
    </row>
    <row r="269" spans="3:14" ht="22">
      <c r="C269" s="575" t="s">
        <v>1622</v>
      </c>
      <c r="D269" s="2" t="s">
        <v>762</v>
      </c>
      <c r="H269" s="2">
        <v>3.4000000000000002E-4</v>
      </c>
      <c r="I269" s="2" t="s">
        <v>420</v>
      </c>
      <c r="L269" s="507" t="s">
        <v>671</v>
      </c>
      <c r="M269" s="46" t="s">
        <v>764</v>
      </c>
      <c r="N269" s="2" t="s">
        <v>682</v>
      </c>
    </row>
    <row r="270" spans="3:14" ht="22">
      <c r="C270" s="575" t="s">
        <v>1623</v>
      </c>
      <c r="D270" s="2" t="s">
        <v>762</v>
      </c>
      <c r="H270" s="2">
        <v>1.9000000000000001E-4</v>
      </c>
      <c r="I270" s="2" t="s">
        <v>420</v>
      </c>
      <c r="L270" s="507" t="s">
        <v>671</v>
      </c>
      <c r="M270" s="46" t="s">
        <v>765</v>
      </c>
      <c r="N270" s="2" t="s">
        <v>684</v>
      </c>
    </row>
    <row r="271" spans="3:14" ht="22">
      <c r="C271" s="575" t="s">
        <v>1624</v>
      </c>
      <c r="D271" s="2" t="s">
        <v>766</v>
      </c>
      <c r="H271" s="2">
        <v>5.0000000000000002E-5</v>
      </c>
      <c r="I271" s="2" t="s">
        <v>420</v>
      </c>
      <c r="L271" s="507" t="s">
        <v>671</v>
      </c>
      <c r="M271" s="46" t="s">
        <v>767</v>
      </c>
      <c r="N271" s="2" t="s">
        <v>673</v>
      </c>
    </row>
    <row r="272" spans="3:14" ht="22">
      <c r="C272" s="575" t="s">
        <v>1625</v>
      </c>
      <c r="D272" s="2" t="s">
        <v>766</v>
      </c>
      <c r="H272" s="2">
        <v>3.8000000000000002E-5</v>
      </c>
      <c r="I272" s="2" t="s">
        <v>420</v>
      </c>
      <c r="L272" s="507" t="s">
        <v>671</v>
      </c>
      <c r="M272" s="46" t="s">
        <v>768</v>
      </c>
      <c r="N272" s="2" t="s">
        <v>675</v>
      </c>
    </row>
    <row r="273" spans="3:14" ht="22">
      <c r="C273" s="575" t="s">
        <v>1626</v>
      </c>
      <c r="D273" s="2" t="s">
        <v>766</v>
      </c>
      <c r="H273" s="2">
        <v>2.0999999999999999E-5</v>
      </c>
      <c r="I273" s="2" t="s">
        <v>420</v>
      </c>
      <c r="L273" s="507" t="s">
        <v>671</v>
      </c>
      <c r="M273" s="46" t="s">
        <v>769</v>
      </c>
      <c r="N273" s="2" t="s">
        <v>677</v>
      </c>
    </row>
    <row r="274" spans="3:14" ht="22">
      <c r="C274" s="575" t="s">
        <v>1627</v>
      </c>
      <c r="D274" s="2" t="s">
        <v>770</v>
      </c>
      <c r="H274" s="2">
        <v>8.0000000000000007E-5</v>
      </c>
      <c r="I274" s="2" t="s">
        <v>420</v>
      </c>
      <c r="L274" s="507" t="s">
        <v>671</v>
      </c>
      <c r="M274" s="46" t="s">
        <v>771</v>
      </c>
      <c r="N274" s="2" t="s">
        <v>694</v>
      </c>
    </row>
    <row r="275" spans="3:14" ht="22">
      <c r="C275" s="575" t="s">
        <v>1628</v>
      </c>
      <c r="D275" s="2" t="s">
        <v>770</v>
      </c>
      <c r="H275" s="2">
        <v>6.9999999999999994E-5</v>
      </c>
      <c r="I275" s="2" t="s">
        <v>420</v>
      </c>
      <c r="L275" s="507" t="s">
        <v>671</v>
      </c>
      <c r="M275" s="46" t="s">
        <v>772</v>
      </c>
      <c r="N275" s="2" t="s">
        <v>696</v>
      </c>
    </row>
    <row r="276" spans="3:14" ht="22">
      <c r="C276" s="575" t="s">
        <v>1629</v>
      </c>
      <c r="D276" s="2" t="s">
        <v>770</v>
      </c>
      <c r="H276" s="2">
        <v>3.6000000000000001E-5</v>
      </c>
      <c r="I276" s="2" t="s">
        <v>420</v>
      </c>
      <c r="L276" s="507" t="s">
        <v>671</v>
      </c>
      <c r="M276" s="46" t="s">
        <v>773</v>
      </c>
      <c r="N276" s="2" t="s">
        <v>698</v>
      </c>
    </row>
    <row r="277" spans="3:14" ht="22">
      <c r="C277" s="575" t="s">
        <v>1630</v>
      </c>
      <c r="D277" s="2" t="s">
        <v>774</v>
      </c>
      <c r="H277" s="2">
        <v>2.3E-2</v>
      </c>
      <c r="I277" s="2" t="s">
        <v>420</v>
      </c>
      <c r="L277" s="507" t="s">
        <v>671</v>
      </c>
      <c r="M277" s="46" t="s">
        <v>775</v>
      </c>
      <c r="N277" s="2" t="s">
        <v>687</v>
      </c>
    </row>
    <row r="278" spans="3:14" ht="22">
      <c r="C278" s="575" t="s">
        <v>1631</v>
      </c>
      <c r="D278" s="2" t="s">
        <v>774</v>
      </c>
      <c r="H278" s="2">
        <v>1.7999999999999999E-2</v>
      </c>
      <c r="I278" s="2" t="s">
        <v>420</v>
      </c>
      <c r="L278" s="507" t="s">
        <v>671</v>
      </c>
      <c r="M278" s="46" t="s">
        <v>776</v>
      </c>
      <c r="N278" s="2" t="s">
        <v>689</v>
      </c>
    </row>
    <row r="279" spans="3:14" ht="22">
      <c r="C279" s="575" t="s">
        <v>1632</v>
      </c>
      <c r="D279" s="2" t="s">
        <v>774</v>
      </c>
      <c r="H279" s="2">
        <v>9.7999999999999997E-3</v>
      </c>
      <c r="I279" s="2" t="s">
        <v>420</v>
      </c>
      <c r="L279" s="507" t="s">
        <v>671</v>
      </c>
      <c r="M279" s="46" t="s">
        <v>777</v>
      </c>
      <c r="N279" s="2" t="s">
        <v>691</v>
      </c>
    </row>
    <row r="280" spans="3:14" ht="22">
      <c r="C280" s="575" t="s">
        <v>1633</v>
      </c>
      <c r="D280" s="2" t="s">
        <v>778</v>
      </c>
      <c r="H280" s="2">
        <v>5.1000000000000004E-4</v>
      </c>
      <c r="I280" s="2" t="s">
        <v>420</v>
      </c>
      <c r="L280" s="507" t="s">
        <v>671</v>
      </c>
      <c r="M280" s="46" t="s">
        <v>779</v>
      </c>
      <c r="N280" s="2" t="s">
        <v>701</v>
      </c>
    </row>
    <row r="281" spans="3:14" ht="22">
      <c r="C281" s="575" t="s">
        <v>1634</v>
      </c>
      <c r="D281" s="2" t="s">
        <v>778</v>
      </c>
      <c r="H281" s="2">
        <v>4.0000000000000002E-4</v>
      </c>
      <c r="I281" s="2" t="s">
        <v>420</v>
      </c>
      <c r="L281" s="507" t="s">
        <v>671</v>
      </c>
      <c r="M281" s="46" t="s">
        <v>780</v>
      </c>
      <c r="N281" s="2" t="s">
        <v>703</v>
      </c>
    </row>
    <row r="282" spans="3:14" ht="22">
      <c r="C282" s="575" t="s">
        <v>1635</v>
      </c>
      <c r="D282" s="2" t="s">
        <v>778</v>
      </c>
      <c r="H282" s="2">
        <v>2.2000000000000001E-4</v>
      </c>
      <c r="I282" s="2" t="s">
        <v>420</v>
      </c>
      <c r="L282" s="507" t="s">
        <v>671</v>
      </c>
      <c r="M282" s="46" t="s">
        <v>781</v>
      </c>
      <c r="N282" s="2" t="s">
        <v>705</v>
      </c>
    </row>
    <row r="283" spans="3:14" ht="22">
      <c r="C283" s="575" t="s">
        <v>1636</v>
      </c>
      <c r="D283" s="2" t="s">
        <v>782</v>
      </c>
      <c r="H283" s="2">
        <v>2.3E-3</v>
      </c>
      <c r="I283" s="2" t="s">
        <v>420</v>
      </c>
      <c r="L283" s="507" t="s">
        <v>671</v>
      </c>
      <c r="M283" s="46" t="s">
        <v>783</v>
      </c>
      <c r="N283" s="2" t="s">
        <v>673</v>
      </c>
    </row>
    <row r="284" spans="3:14" ht="22">
      <c r="C284" s="575" t="s">
        <v>1637</v>
      </c>
      <c r="D284" s="2" t="s">
        <v>782</v>
      </c>
      <c r="H284" s="2">
        <v>1.8E-3</v>
      </c>
      <c r="I284" s="2" t="s">
        <v>420</v>
      </c>
      <c r="L284" s="507" t="s">
        <v>671</v>
      </c>
      <c r="M284" s="46" t="s">
        <v>784</v>
      </c>
      <c r="N284" s="2" t="s">
        <v>675</v>
      </c>
    </row>
    <row r="285" spans="3:14" ht="22">
      <c r="C285" s="575" t="s">
        <v>1638</v>
      </c>
      <c r="D285" s="2" t="s">
        <v>782</v>
      </c>
      <c r="H285" s="2">
        <v>1E-3</v>
      </c>
      <c r="I285" s="2" t="s">
        <v>420</v>
      </c>
      <c r="L285" s="507" t="s">
        <v>671</v>
      </c>
      <c r="M285" s="46" t="s">
        <v>785</v>
      </c>
      <c r="N285" s="2" t="s">
        <v>677</v>
      </c>
    </row>
    <row r="286" spans="3:14" ht="22">
      <c r="C286" s="575" t="s">
        <v>1639</v>
      </c>
      <c r="D286" s="2" t="s">
        <v>786</v>
      </c>
      <c r="H286" s="2">
        <v>6.1999999999999998E-3</v>
      </c>
      <c r="I286" s="2" t="s">
        <v>420</v>
      </c>
      <c r="L286" s="507" t="s">
        <v>671</v>
      </c>
      <c r="M286" s="46" t="s">
        <v>787</v>
      </c>
      <c r="N286" s="2" t="s">
        <v>687</v>
      </c>
    </row>
    <row r="287" spans="3:14" ht="22">
      <c r="C287" s="575" t="s">
        <v>1640</v>
      </c>
      <c r="D287" s="507" t="s">
        <v>786</v>
      </c>
      <c r="H287" s="2">
        <v>5.7000000000000002E-3</v>
      </c>
      <c r="I287" s="2" t="s">
        <v>420</v>
      </c>
      <c r="L287" s="507" t="s">
        <v>671</v>
      </c>
      <c r="M287" s="46" t="s">
        <v>788</v>
      </c>
      <c r="N287" s="2" t="s">
        <v>689</v>
      </c>
    </row>
    <row r="288" spans="3:14" ht="22">
      <c r="C288" s="575" t="s">
        <v>1641</v>
      </c>
      <c r="D288" s="2" t="s">
        <v>786</v>
      </c>
      <c r="H288" s="2">
        <v>4.8999999999999998E-3</v>
      </c>
      <c r="I288" s="2" t="s">
        <v>420</v>
      </c>
      <c r="L288" s="507" t="s">
        <v>671</v>
      </c>
      <c r="M288" s="46" t="s">
        <v>789</v>
      </c>
      <c r="N288" s="2" t="s">
        <v>691</v>
      </c>
    </row>
    <row r="289" spans="3:14" ht="22">
      <c r="C289" s="575" t="s">
        <v>1642</v>
      </c>
      <c r="D289" s="2" t="s">
        <v>790</v>
      </c>
      <c r="H289" s="2">
        <v>4.5999999999999999E-3</v>
      </c>
      <c r="I289" s="2" t="s">
        <v>420</v>
      </c>
      <c r="L289" s="507" t="s">
        <v>671</v>
      </c>
      <c r="M289" s="46" t="s">
        <v>791</v>
      </c>
      <c r="N289" s="2" t="s">
        <v>673</v>
      </c>
    </row>
    <row r="290" spans="3:14" ht="22">
      <c r="C290" s="575" t="s">
        <v>1643</v>
      </c>
      <c r="D290" s="2" t="s">
        <v>790</v>
      </c>
      <c r="H290" s="2">
        <v>3.7000000000000002E-3</v>
      </c>
      <c r="I290" s="2" t="s">
        <v>420</v>
      </c>
      <c r="L290" s="507" t="s">
        <v>671</v>
      </c>
      <c r="M290" s="46" t="s">
        <v>792</v>
      </c>
      <c r="N290" s="2" t="s">
        <v>675</v>
      </c>
    </row>
    <row r="291" spans="3:14" ht="22">
      <c r="C291" s="575" t="s">
        <v>1644</v>
      </c>
      <c r="D291" s="2" t="s">
        <v>790</v>
      </c>
      <c r="H291" s="2">
        <v>2E-3</v>
      </c>
      <c r="I291" s="2" t="s">
        <v>420</v>
      </c>
      <c r="L291" s="507" t="s">
        <v>671</v>
      </c>
      <c r="M291" s="46" t="s">
        <v>793</v>
      </c>
      <c r="N291" s="2" t="s">
        <v>677</v>
      </c>
    </row>
    <row r="292" spans="3:14" ht="43">
      <c r="C292" s="2" t="s">
        <v>825</v>
      </c>
      <c r="D292" s="2" t="s">
        <v>825</v>
      </c>
      <c r="E292" s="4"/>
      <c r="F292" s="4"/>
      <c r="G292" s="4"/>
      <c r="H292" s="4">
        <v>0.98</v>
      </c>
      <c r="I292" s="2" t="s">
        <v>420</v>
      </c>
      <c r="J292" s="4">
        <v>5.63</v>
      </c>
      <c r="K292" s="2" t="s">
        <v>421</v>
      </c>
      <c r="L292" s="2" t="s">
        <v>247</v>
      </c>
      <c r="M292" s="45" t="s">
        <v>826</v>
      </c>
    </row>
    <row r="293" spans="3:14" ht="32.5">
      <c r="C293" s="2" t="s">
        <v>827</v>
      </c>
      <c r="D293" s="2" t="s">
        <v>828</v>
      </c>
      <c r="E293" s="4"/>
      <c r="F293" s="4"/>
      <c r="G293" s="4"/>
      <c r="H293" s="5">
        <v>4.0000000000000001E-3</v>
      </c>
      <c r="I293" s="2" t="s">
        <v>420</v>
      </c>
      <c r="J293" s="4">
        <v>1</v>
      </c>
      <c r="K293" s="2" t="s">
        <v>421</v>
      </c>
      <c r="L293" s="2" t="s">
        <v>247</v>
      </c>
      <c r="M293" s="45" t="s">
        <v>433</v>
      </c>
    </row>
    <row r="294" spans="3:14" ht="32.5">
      <c r="C294" s="507" t="s">
        <v>829</v>
      </c>
      <c r="D294" s="2" t="s">
        <v>830</v>
      </c>
      <c r="E294" s="4"/>
      <c r="F294" s="4"/>
      <c r="G294" s="4"/>
      <c r="H294" s="5">
        <v>3.7000000000000002E-3</v>
      </c>
      <c r="I294" s="2" t="s">
        <v>420</v>
      </c>
      <c r="J294" s="4">
        <v>0.10299999999999999</v>
      </c>
      <c r="K294" s="2" t="s">
        <v>421</v>
      </c>
      <c r="L294" s="2" t="s">
        <v>247</v>
      </c>
      <c r="M294" s="45" t="s">
        <v>831</v>
      </c>
    </row>
    <row r="295" spans="3:14" ht="22">
      <c r="C295" s="507" t="s">
        <v>834</v>
      </c>
      <c r="D295" s="2" t="s">
        <v>834</v>
      </c>
      <c r="H295" s="4">
        <v>363</v>
      </c>
      <c r="I295" s="2" t="s">
        <v>420</v>
      </c>
      <c r="L295" s="2" t="s">
        <v>505</v>
      </c>
      <c r="M295" s="46" t="s">
        <v>506</v>
      </c>
    </row>
    <row r="296" spans="3:14">
      <c r="C296" s="2" t="s">
        <v>835</v>
      </c>
      <c r="D296" s="2" t="s">
        <v>836</v>
      </c>
      <c r="E296" s="4"/>
      <c r="F296" s="4"/>
      <c r="G296" s="4"/>
      <c r="H296" s="4">
        <v>1.73</v>
      </c>
      <c r="I296" s="2" t="s">
        <v>420</v>
      </c>
      <c r="J296" s="4"/>
      <c r="L296" s="2" t="s">
        <v>247</v>
      </c>
      <c r="M296" s="45" t="s">
        <v>837</v>
      </c>
    </row>
    <row r="297" spans="3:14">
      <c r="C297" s="2" t="s">
        <v>838</v>
      </c>
      <c r="D297" s="2" t="s">
        <v>838</v>
      </c>
      <c r="E297" s="4"/>
      <c r="F297" s="4"/>
      <c r="G297" s="4"/>
      <c r="H297" s="4">
        <v>1.98</v>
      </c>
      <c r="I297" s="2" t="s">
        <v>420</v>
      </c>
      <c r="J297" s="4">
        <v>26.1</v>
      </c>
      <c r="K297" s="2" t="s">
        <v>421</v>
      </c>
      <c r="L297" s="2" t="s">
        <v>247</v>
      </c>
      <c r="M297" s="45" t="s">
        <v>839</v>
      </c>
    </row>
    <row r="298" spans="3:14">
      <c r="C298" s="47" t="s">
        <v>838</v>
      </c>
      <c r="D298" s="47" t="s">
        <v>838</v>
      </c>
      <c r="E298" s="107">
        <v>4.5199999999999996</v>
      </c>
      <c r="F298" s="107"/>
      <c r="G298" s="107"/>
      <c r="H298" s="107">
        <v>4.87</v>
      </c>
      <c r="I298" s="2" t="s">
        <v>420</v>
      </c>
      <c r="J298" s="107"/>
      <c r="K298" s="47"/>
      <c r="L298" s="47" t="s">
        <v>247</v>
      </c>
      <c r="M298" s="104" t="s">
        <v>840</v>
      </c>
    </row>
    <row r="299" spans="3:14" ht="22">
      <c r="C299" s="2" t="s">
        <v>841</v>
      </c>
      <c r="D299" s="2" t="s">
        <v>842</v>
      </c>
      <c r="E299" s="4"/>
      <c r="F299" s="4"/>
      <c r="G299" s="4"/>
      <c r="H299" s="4">
        <v>0.33</v>
      </c>
      <c r="I299" s="2" t="s">
        <v>420</v>
      </c>
      <c r="J299" s="4">
        <v>5.12</v>
      </c>
      <c r="K299" s="2" t="s">
        <v>421</v>
      </c>
      <c r="L299" s="2" t="s">
        <v>247</v>
      </c>
      <c r="M299" s="45" t="s">
        <v>843</v>
      </c>
    </row>
    <row r="300" spans="3:14">
      <c r="C300" s="2" t="s">
        <v>844</v>
      </c>
      <c r="D300" s="2" t="s">
        <v>844</v>
      </c>
      <c r="E300" s="4"/>
      <c r="F300" s="4"/>
      <c r="G300" s="4"/>
      <c r="H300" s="4">
        <v>125</v>
      </c>
      <c r="I300" s="2" t="s">
        <v>420</v>
      </c>
      <c r="J300" s="4">
        <v>12747.42</v>
      </c>
      <c r="K300" s="2" t="s">
        <v>421</v>
      </c>
      <c r="L300" s="2" t="s">
        <v>458</v>
      </c>
      <c r="M300" s="45" t="s">
        <v>845</v>
      </c>
    </row>
    <row r="301" spans="3:14">
      <c r="C301" s="2" t="s">
        <v>846</v>
      </c>
      <c r="D301" s="2" t="s">
        <v>847</v>
      </c>
      <c r="E301" s="4"/>
      <c r="F301" s="4"/>
      <c r="G301" s="4"/>
      <c r="H301" s="4">
        <v>145.1</v>
      </c>
      <c r="I301" s="2" t="s">
        <v>420</v>
      </c>
      <c r="J301" s="4"/>
      <c r="L301" s="2" t="s">
        <v>241</v>
      </c>
      <c r="M301" s="48" t="s">
        <v>848</v>
      </c>
    </row>
    <row r="302" spans="3:14">
      <c r="C302" s="592" t="s">
        <v>1321</v>
      </c>
      <c r="D302" s="361" t="s">
        <v>849</v>
      </c>
      <c r="E302" s="361"/>
      <c r="F302" s="361"/>
      <c r="G302" s="361"/>
      <c r="H302" s="546">
        <v>1.71</v>
      </c>
      <c r="I302" s="361" t="s">
        <v>420</v>
      </c>
      <c r="J302" s="361"/>
      <c r="K302" s="361"/>
      <c r="L302" s="361" t="s">
        <v>247</v>
      </c>
      <c r="M302" s="103" t="s">
        <v>475</v>
      </c>
    </row>
    <row r="303" spans="3:14">
      <c r="C303" s="361" t="s">
        <v>1322</v>
      </c>
      <c r="D303" s="361" t="s">
        <v>850</v>
      </c>
      <c r="E303" s="361"/>
      <c r="F303" s="361"/>
      <c r="G303" s="361"/>
      <c r="H303" s="546">
        <v>0.74</v>
      </c>
      <c r="I303" s="361" t="s">
        <v>420</v>
      </c>
      <c r="J303" s="361"/>
      <c r="K303" s="361"/>
      <c r="L303" s="361" t="s">
        <v>247</v>
      </c>
      <c r="M303" s="104" t="s">
        <v>475</v>
      </c>
    </row>
    <row r="304" spans="3:14">
      <c r="C304" s="361" t="s">
        <v>1323</v>
      </c>
      <c r="D304" s="361" t="s">
        <v>851</v>
      </c>
      <c r="E304" s="361"/>
      <c r="F304" s="361"/>
      <c r="G304" s="361"/>
      <c r="H304" s="546">
        <v>0.25</v>
      </c>
      <c r="I304" s="361" t="s">
        <v>420</v>
      </c>
      <c r="J304" s="361"/>
      <c r="K304" s="361"/>
      <c r="L304" s="361" t="s">
        <v>247</v>
      </c>
      <c r="M304" s="103" t="s">
        <v>475</v>
      </c>
    </row>
    <row r="305" spans="3:13">
      <c r="C305" s="361" t="s">
        <v>1324</v>
      </c>
      <c r="D305" s="361" t="s">
        <v>852</v>
      </c>
      <c r="E305" s="361"/>
      <c r="F305" s="361"/>
      <c r="G305" s="361"/>
      <c r="H305" s="4">
        <v>0.2</v>
      </c>
      <c r="I305" s="361" t="s">
        <v>420</v>
      </c>
      <c r="J305" s="361"/>
      <c r="K305" s="361"/>
      <c r="L305" s="361" t="s">
        <v>853</v>
      </c>
      <c r="M305" s="49" t="s">
        <v>854</v>
      </c>
    </row>
    <row r="306" spans="3:13">
      <c r="C306" s="361" t="s">
        <v>1325</v>
      </c>
      <c r="D306" s="361" t="s">
        <v>855</v>
      </c>
      <c r="E306" s="361">
        <v>0.52</v>
      </c>
      <c r="F306" s="361"/>
      <c r="G306" s="361"/>
      <c r="H306" s="4">
        <v>0.52</v>
      </c>
      <c r="I306" s="361" t="s">
        <v>420</v>
      </c>
      <c r="J306" s="361"/>
      <c r="K306" s="361"/>
      <c r="L306" s="361" t="s">
        <v>247</v>
      </c>
      <c r="M306" s="204" t="s">
        <v>856</v>
      </c>
    </row>
    <row r="307" spans="3:13">
      <c r="C307" s="361" t="s">
        <v>1326</v>
      </c>
      <c r="D307" s="361" t="s">
        <v>857</v>
      </c>
      <c r="E307" s="361"/>
      <c r="F307" s="361"/>
      <c r="G307" s="361"/>
      <c r="H307" s="4">
        <v>9.1999999999999993</v>
      </c>
      <c r="I307" s="361" t="s">
        <v>420</v>
      </c>
      <c r="J307" s="361"/>
      <c r="K307" s="361"/>
      <c r="L307" s="361" t="s">
        <v>247</v>
      </c>
      <c r="M307" s="105" t="s">
        <v>475</v>
      </c>
    </row>
    <row r="308" spans="3:13">
      <c r="C308" s="361" t="s">
        <v>1327</v>
      </c>
      <c r="D308" s="361" t="s">
        <v>858</v>
      </c>
      <c r="E308" s="361">
        <v>0.57999999999999996</v>
      </c>
      <c r="F308" s="361"/>
      <c r="G308" s="361"/>
      <c r="H308" s="4">
        <v>0.57999999999999996</v>
      </c>
      <c r="I308" s="361" t="s">
        <v>420</v>
      </c>
      <c r="J308" s="361"/>
      <c r="K308" s="361"/>
      <c r="L308" s="361" t="s">
        <v>859</v>
      </c>
      <c r="M308" s="205" t="s">
        <v>475</v>
      </c>
    </row>
    <row r="309" spans="3:13">
      <c r="C309" s="361" t="s">
        <v>1328</v>
      </c>
      <c r="D309" s="361" t="s">
        <v>860</v>
      </c>
      <c r="E309" s="361">
        <v>0.44</v>
      </c>
      <c r="F309" s="361"/>
      <c r="G309" s="361"/>
      <c r="H309" s="4">
        <v>0.44</v>
      </c>
      <c r="I309" s="361" t="s">
        <v>420</v>
      </c>
      <c r="J309" s="361"/>
      <c r="K309" s="361"/>
      <c r="L309" s="361" t="s">
        <v>247</v>
      </c>
      <c r="M309" s="46" t="s">
        <v>856</v>
      </c>
    </row>
    <row r="310" spans="3:13">
      <c r="C310" s="361" t="s">
        <v>1329</v>
      </c>
      <c r="D310" s="361" t="s">
        <v>861</v>
      </c>
      <c r="E310" s="361">
        <v>2.04</v>
      </c>
      <c r="F310" s="361"/>
      <c r="G310" s="361"/>
      <c r="H310" s="4">
        <v>2.04</v>
      </c>
      <c r="I310" s="361" t="s">
        <v>420</v>
      </c>
      <c r="J310" s="361"/>
      <c r="K310" s="361"/>
      <c r="L310" s="361" t="s">
        <v>247</v>
      </c>
      <c r="M310" s="46" t="s">
        <v>856</v>
      </c>
    </row>
    <row r="311" spans="3:13">
      <c r="C311" s="361" t="s">
        <v>1330</v>
      </c>
      <c r="D311" s="361" t="s">
        <v>862</v>
      </c>
      <c r="E311" s="361"/>
      <c r="F311" s="361"/>
      <c r="G311" s="361"/>
      <c r="H311" s="4">
        <v>0.2</v>
      </c>
      <c r="I311" s="361" t="s">
        <v>420</v>
      </c>
      <c r="J311" s="361"/>
      <c r="K311" s="361"/>
      <c r="L311" s="361" t="s">
        <v>247</v>
      </c>
      <c r="M311" s="103" t="s">
        <v>475</v>
      </c>
    </row>
    <row r="312" spans="3:13">
      <c r="C312" s="361" t="s">
        <v>1331</v>
      </c>
      <c r="D312" s="361" t="s">
        <v>863</v>
      </c>
      <c r="E312" s="361">
        <v>0.28000000000000003</v>
      </c>
      <c r="F312" s="361"/>
      <c r="G312" s="361"/>
      <c r="H312" s="4">
        <v>0.28000000000000003</v>
      </c>
      <c r="I312" s="361" t="s">
        <v>420</v>
      </c>
      <c r="J312" s="361"/>
      <c r="K312" s="361"/>
      <c r="L312" s="361" t="s">
        <v>247</v>
      </c>
      <c r="M312" s="46" t="s">
        <v>856</v>
      </c>
    </row>
    <row r="313" spans="3:13">
      <c r="C313" s="361" t="s">
        <v>1332</v>
      </c>
      <c r="D313" s="361" t="s">
        <v>864</v>
      </c>
      <c r="E313" s="361"/>
      <c r="F313" s="361"/>
      <c r="G313" s="361"/>
      <c r="H313" s="4">
        <v>0.78</v>
      </c>
      <c r="I313" s="361" t="s">
        <v>420</v>
      </c>
      <c r="J313" s="361"/>
      <c r="K313" s="361"/>
      <c r="L313" s="361" t="s">
        <v>247</v>
      </c>
      <c r="M313" s="105" t="s">
        <v>475</v>
      </c>
    </row>
    <row r="314" spans="3:13">
      <c r="C314" s="592" t="s">
        <v>1411</v>
      </c>
      <c r="D314" s="361" t="s">
        <v>474</v>
      </c>
      <c r="E314" s="361"/>
      <c r="F314" s="361"/>
      <c r="G314" s="361"/>
      <c r="H314" s="4">
        <v>2.58</v>
      </c>
      <c r="I314" s="361" t="s">
        <v>420</v>
      </c>
      <c r="J314" s="361"/>
      <c r="K314" s="361"/>
      <c r="L314" s="361" t="s">
        <v>247</v>
      </c>
      <c r="M314" s="105" t="s">
        <v>475</v>
      </c>
    </row>
    <row r="315" spans="3:13">
      <c r="C315" s="592" t="s">
        <v>1412</v>
      </c>
      <c r="D315" s="361" t="s">
        <v>476</v>
      </c>
      <c r="E315" s="361"/>
      <c r="F315" s="361"/>
      <c r="G315" s="361"/>
      <c r="H315" s="4">
        <v>5.59</v>
      </c>
      <c r="I315" s="361" t="s">
        <v>420</v>
      </c>
      <c r="J315" s="361"/>
      <c r="K315" s="361"/>
      <c r="L315" s="361" t="s">
        <v>247</v>
      </c>
      <c r="M315" s="105" t="s">
        <v>475</v>
      </c>
    </row>
    <row r="316" spans="3:13">
      <c r="C316" s="361" t="s">
        <v>1333</v>
      </c>
      <c r="D316" s="361" t="s">
        <v>865</v>
      </c>
      <c r="E316" s="361"/>
      <c r="F316" s="361"/>
      <c r="G316" s="361"/>
      <c r="H316" s="4">
        <v>0.24</v>
      </c>
      <c r="I316" s="361" t="s">
        <v>420</v>
      </c>
      <c r="J316" s="361"/>
      <c r="K316" s="361"/>
      <c r="L316" s="361" t="s">
        <v>247</v>
      </c>
      <c r="M316" s="103" t="s">
        <v>475</v>
      </c>
    </row>
    <row r="317" spans="3:13">
      <c r="C317" s="361" t="s">
        <v>1334</v>
      </c>
      <c r="D317" s="361" t="s">
        <v>866</v>
      </c>
      <c r="E317" s="361">
        <v>6.47</v>
      </c>
      <c r="F317" s="361"/>
      <c r="G317" s="361"/>
      <c r="H317" s="4">
        <v>6.47</v>
      </c>
      <c r="I317" s="361" t="s">
        <v>420</v>
      </c>
      <c r="J317" s="361"/>
      <c r="K317" s="361"/>
      <c r="L317" s="361" t="s">
        <v>247</v>
      </c>
      <c r="M317" s="46" t="s">
        <v>856</v>
      </c>
    </row>
    <row r="318" spans="3:13">
      <c r="C318" s="361" t="s">
        <v>1335</v>
      </c>
      <c r="D318" s="361" t="s">
        <v>867</v>
      </c>
      <c r="E318" s="361">
        <v>0.56999999999999995</v>
      </c>
      <c r="F318" s="361"/>
      <c r="G318" s="361"/>
      <c r="H318" s="4">
        <v>0.56999999999999995</v>
      </c>
      <c r="I318" s="361" t="s">
        <v>420</v>
      </c>
      <c r="J318" s="361"/>
      <c r="K318" s="361"/>
      <c r="L318" s="361" t="s">
        <v>247</v>
      </c>
      <c r="M318" s="46" t="s">
        <v>856</v>
      </c>
    </row>
    <row r="319" spans="3:13">
      <c r="C319" s="361" t="s">
        <v>1336</v>
      </c>
      <c r="D319" s="361" t="s">
        <v>868</v>
      </c>
      <c r="E319" s="361">
        <v>0.25</v>
      </c>
      <c r="F319" s="361"/>
      <c r="G319" s="361"/>
      <c r="H319" s="4">
        <v>0.25</v>
      </c>
      <c r="I319" s="361" t="s">
        <v>420</v>
      </c>
      <c r="J319" s="361"/>
      <c r="K319" s="361"/>
      <c r="L319" s="361" t="s">
        <v>247</v>
      </c>
      <c r="M319" s="46" t="s">
        <v>856</v>
      </c>
    </row>
    <row r="320" spans="3:13">
      <c r="C320" s="361" t="s">
        <v>1337</v>
      </c>
      <c r="D320" s="361" t="s">
        <v>869</v>
      </c>
      <c r="E320" s="361"/>
      <c r="F320" s="361"/>
      <c r="G320" s="361"/>
      <c r="H320" s="4">
        <v>3.2</v>
      </c>
      <c r="I320" s="361" t="s">
        <v>420</v>
      </c>
      <c r="J320" s="361"/>
      <c r="K320" s="361"/>
      <c r="L320" s="361" t="s">
        <v>247</v>
      </c>
      <c r="M320" s="45" t="s">
        <v>870</v>
      </c>
    </row>
    <row r="321" spans="3:13">
      <c r="C321" s="507" t="s">
        <v>1338</v>
      </c>
      <c r="D321" s="2" t="s">
        <v>871</v>
      </c>
      <c r="E321" s="4">
        <v>0.27</v>
      </c>
      <c r="F321" s="4"/>
      <c r="G321" s="4"/>
      <c r="H321" s="4">
        <v>0.27</v>
      </c>
      <c r="I321" s="2" t="s">
        <v>420</v>
      </c>
      <c r="J321" s="4"/>
      <c r="L321" s="2" t="s">
        <v>247</v>
      </c>
      <c r="M321" s="46" t="s">
        <v>856</v>
      </c>
    </row>
    <row r="322" spans="3:13">
      <c r="C322" s="507" t="s">
        <v>1339</v>
      </c>
      <c r="D322" s="2" t="s">
        <v>872</v>
      </c>
      <c r="E322" s="4"/>
      <c r="F322" s="4"/>
      <c r="G322" s="4"/>
      <c r="H322" s="4">
        <v>0.1</v>
      </c>
      <c r="I322" s="2" t="s">
        <v>420</v>
      </c>
      <c r="J322" s="4"/>
      <c r="L322" s="2" t="s">
        <v>247</v>
      </c>
      <c r="M322" s="45" t="s">
        <v>870</v>
      </c>
    </row>
    <row r="323" spans="3:13">
      <c r="C323" s="507" t="s">
        <v>1340</v>
      </c>
      <c r="D323" s="2" t="s">
        <v>873</v>
      </c>
      <c r="E323" s="4"/>
      <c r="F323" s="4"/>
      <c r="G323" s="4"/>
      <c r="H323" s="4">
        <v>3.7</v>
      </c>
      <c r="I323" s="2" t="s">
        <v>420</v>
      </c>
      <c r="J323" s="4"/>
      <c r="L323" s="2" t="s">
        <v>247</v>
      </c>
      <c r="M323" s="105" t="s">
        <v>475</v>
      </c>
    </row>
    <row r="324" spans="3:13">
      <c r="C324" s="507" t="s">
        <v>1341</v>
      </c>
      <c r="D324" s="2" t="s">
        <v>874</v>
      </c>
      <c r="E324" s="4"/>
      <c r="F324" s="4"/>
      <c r="G324" s="4"/>
      <c r="H324" s="4">
        <v>3.92</v>
      </c>
      <c r="I324" s="2" t="s">
        <v>420</v>
      </c>
      <c r="J324" s="4"/>
      <c r="L324" s="2" t="s">
        <v>247</v>
      </c>
      <c r="M324" s="105" t="s">
        <v>475</v>
      </c>
    </row>
    <row r="325" spans="3:13">
      <c r="C325" s="507" t="s">
        <v>1342</v>
      </c>
      <c r="D325" s="2" t="s">
        <v>875</v>
      </c>
      <c r="E325" s="4">
        <v>0.28000000000000003</v>
      </c>
      <c r="F325" s="4"/>
      <c r="G325" s="4"/>
      <c r="H325" s="4">
        <v>0.28000000000000003</v>
      </c>
      <c r="I325" s="2" t="s">
        <v>420</v>
      </c>
      <c r="J325" s="4"/>
      <c r="L325" s="2" t="s">
        <v>247</v>
      </c>
      <c r="M325" s="46" t="s">
        <v>856</v>
      </c>
    </row>
    <row r="326" spans="3:13">
      <c r="C326" s="507" t="s">
        <v>1343</v>
      </c>
      <c r="D326" s="2" t="s">
        <v>876</v>
      </c>
      <c r="E326" s="4"/>
      <c r="F326" s="4"/>
      <c r="G326" s="4"/>
      <c r="H326" s="4">
        <v>0.45</v>
      </c>
      <c r="I326" s="2" t="s">
        <v>420</v>
      </c>
      <c r="J326" s="4"/>
      <c r="L326" s="2" t="s">
        <v>247</v>
      </c>
      <c r="M326" s="103" t="s">
        <v>475</v>
      </c>
    </row>
    <row r="327" spans="3:13">
      <c r="C327" s="507" t="s">
        <v>1344</v>
      </c>
      <c r="D327" s="2" t="s">
        <v>877</v>
      </c>
      <c r="E327" s="4">
        <v>1.38</v>
      </c>
      <c r="F327" s="4"/>
      <c r="G327" s="4"/>
      <c r="H327" s="4">
        <v>1.38</v>
      </c>
      <c r="I327" s="2" t="s">
        <v>420</v>
      </c>
      <c r="J327" s="4"/>
      <c r="L327" s="2" t="s">
        <v>859</v>
      </c>
      <c r="M327" s="105" t="s">
        <v>475</v>
      </c>
    </row>
    <row r="328" spans="3:13">
      <c r="C328" s="507" t="s">
        <v>1345</v>
      </c>
      <c r="D328" s="2" t="s">
        <v>878</v>
      </c>
      <c r="E328" s="4">
        <v>6.29</v>
      </c>
      <c r="F328" s="4"/>
      <c r="G328" s="4"/>
      <c r="H328" s="4">
        <v>6.29</v>
      </c>
      <c r="I328" s="2" t="s">
        <v>420</v>
      </c>
      <c r="J328" s="4"/>
      <c r="L328" s="2" t="s">
        <v>247</v>
      </c>
      <c r="M328" s="103" t="s">
        <v>475</v>
      </c>
    </row>
    <row r="329" spans="3:13">
      <c r="C329" s="507" t="s">
        <v>1346</v>
      </c>
      <c r="D329" s="2" t="s">
        <v>879</v>
      </c>
      <c r="E329" s="4">
        <v>1.92</v>
      </c>
      <c r="F329" s="4"/>
      <c r="G329" s="4"/>
      <c r="H329" s="4">
        <v>1.92</v>
      </c>
      <c r="I329" s="2" t="s">
        <v>420</v>
      </c>
      <c r="J329" s="4"/>
      <c r="L329" s="2" t="s">
        <v>247</v>
      </c>
      <c r="M329" s="103" t="s">
        <v>475</v>
      </c>
    </row>
    <row r="330" spans="3:13">
      <c r="C330" s="507" t="s">
        <v>1347</v>
      </c>
      <c r="D330" s="2" t="s">
        <v>880</v>
      </c>
      <c r="E330" s="4"/>
      <c r="F330" s="4"/>
      <c r="G330" s="4"/>
      <c r="H330" s="4">
        <v>2.37</v>
      </c>
      <c r="I330" s="2" t="s">
        <v>420</v>
      </c>
      <c r="J330" s="4"/>
      <c r="L330" s="2" t="s">
        <v>247</v>
      </c>
      <c r="M330" s="105" t="s">
        <v>475</v>
      </c>
    </row>
    <row r="331" spans="3:13">
      <c r="C331" s="507" t="s">
        <v>1348</v>
      </c>
      <c r="D331" s="2" t="s">
        <v>881</v>
      </c>
      <c r="E331" s="4"/>
      <c r="F331" s="4"/>
      <c r="G331" s="4"/>
      <c r="H331" s="4">
        <v>0.64</v>
      </c>
      <c r="I331" s="2" t="s">
        <v>420</v>
      </c>
      <c r="J331" s="4"/>
      <c r="L331" s="2" t="s">
        <v>853</v>
      </c>
      <c r="M331" s="46" t="s">
        <v>882</v>
      </c>
    </row>
    <row r="332" spans="3:13">
      <c r="C332" s="507" t="s">
        <v>1349</v>
      </c>
      <c r="D332" s="2" t="s">
        <v>883</v>
      </c>
      <c r="E332" s="4"/>
      <c r="F332" s="4"/>
      <c r="G332" s="4"/>
      <c r="H332" s="4">
        <v>0.4</v>
      </c>
      <c r="I332" s="2" t="s">
        <v>420</v>
      </c>
      <c r="J332" s="4"/>
      <c r="L332" s="2" t="s">
        <v>247</v>
      </c>
      <c r="M332" s="105" t="s">
        <v>475</v>
      </c>
    </row>
    <row r="333" spans="3:13">
      <c r="C333" s="507" t="s">
        <v>1350</v>
      </c>
      <c r="D333" s="2" t="s">
        <v>884</v>
      </c>
      <c r="E333" s="4">
        <v>5.82</v>
      </c>
      <c r="F333" s="4"/>
      <c r="G333" s="4"/>
      <c r="H333" s="4">
        <v>5.82</v>
      </c>
      <c r="I333" s="2" t="s">
        <v>420</v>
      </c>
      <c r="J333" s="4"/>
      <c r="L333" s="2" t="s">
        <v>247</v>
      </c>
      <c r="M333" s="46" t="s">
        <v>856</v>
      </c>
    </row>
    <row r="334" spans="3:13">
      <c r="C334" s="507" t="s">
        <v>1351</v>
      </c>
      <c r="D334" s="2" t="s">
        <v>885</v>
      </c>
      <c r="E334" s="4">
        <v>1.25</v>
      </c>
      <c r="F334" s="4"/>
      <c r="G334" s="4"/>
      <c r="H334" s="4">
        <v>1.25</v>
      </c>
      <c r="I334" s="2" t="s">
        <v>420</v>
      </c>
      <c r="J334" s="4"/>
      <c r="L334" s="2" t="s">
        <v>247</v>
      </c>
      <c r="M334" s="103" t="s">
        <v>475</v>
      </c>
    </row>
    <row r="335" spans="3:13">
      <c r="C335" s="507" t="s">
        <v>1352</v>
      </c>
      <c r="D335" s="2" t="s">
        <v>886</v>
      </c>
      <c r="E335" s="4"/>
      <c r="F335" s="4"/>
      <c r="G335" s="4"/>
      <c r="H335" s="4">
        <v>0.66</v>
      </c>
      <c r="I335" s="2" t="s">
        <v>420</v>
      </c>
      <c r="J335" s="4"/>
      <c r="L335" s="2" t="s">
        <v>247</v>
      </c>
      <c r="M335" s="103" t="s">
        <v>475</v>
      </c>
    </row>
    <row r="336" spans="3:13">
      <c r="C336" s="507" t="s">
        <v>1353</v>
      </c>
      <c r="D336" s="2" t="s">
        <v>887</v>
      </c>
      <c r="E336" s="4">
        <v>0.3</v>
      </c>
      <c r="F336" s="4"/>
      <c r="G336" s="4"/>
      <c r="H336" s="4">
        <v>0.3</v>
      </c>
      <c r="I336" s="2" t="s">
        <v>420</v>
      </c>
      <c r="J336" s="4"/>
      <c r="L336" s="2" t="s">
        <v>247</v>
      </c>
      <c r="M336" s="105" t="s">
        <v>888</v>
      </c>
    </row>
    <row r="337" spans="3:13">
      <c r="C337" s="507" t="s">
        <v>1354</v>
      </c>
      <c r="D337" s="2" t="s">
        <v>889</v>
      </c>
      <c r="E337" s="4"/>
      <c r="F337" s="4"/>
      <c r="G337" s="4"/>
      <c r="H337" s="4">
        <v>0.43</v>
      </c>
      <c r="I337" s="2" t="s">
        <v>420</v>
      </c>
      <c r="J337" s="4"/>
      <c r="L337" s="2" t="s">
        <v>247</v>
      </c>
      <c r="M337" s="103" t="s">
        <v>475</v>
      </c>
    </row>
    <row r="338" spans="3:13">
      <c r="C338" s="507" t="s">
        <v>1355</v>
      </c>
      <c r="D338" s="2" t="s">
        <v>890</v>
      </c>
      <c r="E338" s="4">
        <v>0.54</v>
      </c>
      <c r="F338" s="4"/>
      <c r="G338" s="4"/>
      <c r="H338" s="4">
        <v>0.54</v>
      </c>
      <c r="I338" s="2" t="s">
        <v>420</v>
      </c>
      <c r="J338" s="4"/>
      <c r="L338" s="2" t="s">
        <v>859</v>
      </c>
      <c r="M338" s="105" t="s">
        <v>475</v>
      </c>
    </row>
    <row r="339" spans="3:13">
      <c r="C339" s="507" t="s">
        <v>1356</v>
      </c>
      <c r="D339" s="2" t="s">
        <v>891</v>
      </c>
      <c r="E339" s="4">
        <v>0.3</v>
      </c>
      <c r="F339" s="4"/>
      <c r="G339" s="4"/>
      <c r="H339" s="4">
        <v>0.3</v>
      </c>
      <c r="I339" s="2" t="s">
        <v>420</v>
      </c>
      <c r="J339" s="4"/>
      <c r="L339" s="2" t="s">
        <v>247</v>
      </c>
      <c r="M339" s="105" t="s">
        <v>892</v>
      </c>
    </row>
    <row r="340" spans="3:13">
      <c r="C340" s="507" t="s">
        <v>1357</v>
      </c>
      <c r="D340" s="2" t="s">
        <v>893</v>
      </c>
      <c r="E340" s="4"/>
      <c r="F340" s="4"/>
      <c r="G340" s="4"/>
      <c r="H340" s="4">
        <v>1.44</v>
      </c>
      <c r="I340" s="2" t="s">
        <v>420</v>
      </c>
      <c r="J340" s="4"/>
      <c r="L340" s="2" t="s">
        <v>247</v>
      </c>
      <c r="M340" s="105" t="s">
        <v>475</v>
      </c>
    </row>
    <row r="341" spans="3:13">
      <c r="C341" s="507" t="s">
        <v>1358</v>
      </c>
      <c r="D341" s="2" t="s">
        <v>894</v>
      </c>
      <c r="E341" s="4">
        <v>1.46</v>
      </c>
      <c r="F341" s="4"/>
      <c r="G341" s="4"/>
      <c r="H341" s="4">
        <v>1.46</v>
      </c>
      <c r="I341" s="2" t="s">
        <v>420</v>
      </c>
      <c r="J341" s="4"/>
      <c r="L341" s="2" t="s">
        <v>247</v>
      </c>
      <c r="M341" s="103" t="s">
        <v>475</v>
      </c>
    </row>
    <row r="342" spans="3:13">
      <c r="C342" s="507" t="s">
        <v>1359</v>
      </c>
      <c r="D342" s="2" t="s">
        <v>895</v>
      </c>
      <c r="E342" s="4">
        <v>0.61</v>
      </c>
      <c r="F342" s="4"/>
      <c r="G342" s="4"/>
      <c r="H342" s="4">
        <v>0.61</v>
      </c>
      <c r="I342" s="2" t="s">
        <v>420</v>
      </c>
      <c r="J342" s="4"/>
      <c r="L342" s="2" t="s">
        <v>247</v>
      </c>
      <c r="M342" s="103" t="s">
        <v>475</v>
      </c>
    </row>
    <row r="343" spans="3:13">
      <c r="C343" s="507" t="s">
        <v>1360</v>
      </c>
      <c r="D343" s="2" t="s">
        <v>896</v>
      </c>
      <c r="E343" s="4">
        <v>0.28000000000000003</v>
      </c>
      <c r="F343" s="4"/>
      <c r="G343" s="4"/>
      <c r="H343" s="4">
        <v>0.28000000000000003</v>
      </c>
      <c r="I343" s="2" t="s">
        <v>420</v>
      </c>
      <c r="J343" s="4"/>
      <c r="L343" s="2" t="s">
        <v>247</v>
      </c>
      <c r="M343" s="46" t="s">
        <v>856</v>
      </c>
    </row>
    <row r="344" spans="3:13">
      <c r="C344" s="507" t="s">
        <v>1361</v>
      </c>
      <c r="D344" s="2" t="s">
        <v>897</v>
      </c>
      <c r="E344" s="4">
        <v>0.28000000000000003</v>
      </c>
      <c r="F344" s="4"/>
      <c r="G344" s="4"/>
      <c r="H344" s="4">
        <v>0.28000000000000003</v>
      </c>
      <c r="I344" s="2" t="s">
        <v>420</v>
      </c>
      <c r="J344" s="4"/>
      <c r="L344" s="2" t="s">
        <v>247</v>
      </c>
      <c r="M344" s="46" t="s">
        <v>856</v>
      </c>
    </row>
    <row r="345" spans="3:13">
      <c r="C345" s="507" t="s">
        <v>1362</v>
      </c>
      <c r="D345" s="2" t="s">
        <v>898</v>
      </c>
      <c r="E345" s="4">
        <v>0.28000000000000003</v>
      </c>
      <c r="F345" s="4"/>
      <c r="G345" s="4"/>
      <c r="H345" s="4">
        <v>0.28000000000000003</v>
      </c>
      <c r="I345" s="2" t="s">
        <v>420</v>
      </c>
      <c r="J345" s="4"/>
      <c r="L345" s="2" t="s">
        <v>247</v>
      </c>
      <c r="M345" s="46" t="s">
        <v>856</v>
      </c>
    </row>
    <row r="346" spans="3:13">
      <c r="C346" s="575" t="s">
        <v>1408</v>
      </c>
      <c r="D346" s="575" t="s">
        <v>1409</v>
      </c>
      <c r="E346" s="4">
        <v>2.52</v>
      </c>
      <c r="F346" s="4"/>
      <c r="G346" s="4"/>
      <c r="H346" s="4">
        <v>2.52</v>
      </c>
      <c r="I346" s="2" t="s">
        <v>420</v>
      </c>
      <c r="J346" s="4"/>
      <c r="L346" s="2" t="s">
        <v>247</v>
      </c>
      <c r="M346" s="46" t="s">
        <v>856</v>
      </c>
    </row>
    <row r="347" spans="3:13">
      <c r="C347" s="507" t="s">
        <v>1363</v>
      </c>
      <c r="D347" s="2" t="s">
        <v>899</v>
      </c>
      <c r="E347" s="4">
        <v>0.4</v>
      </c>
      <c r="F347" s="4"/>
      <c r="G347" s="4"/>
      <c r="H347" s="4">
        <v>0.4</v>
      </c>
      <c r="I347" s="2" t="s">
        <v>420</v>
      </c>
      <c r="J347" s="4"/>
      <c r="L347" s="2" t="s">
        <v>247</v>
      </c>
      <c r="M347" s="105" t="s">
        <v>900</v>
      </c>
    </row>
    <row r="348" spans="3:13">
      <c r="C348" s="507" t="s">
        <v>1364</v>
      </c>
      <c r="D348" s="2" t="s">
        <v>901</v>
      </c>
      <c r="E348" s="4">
        <v>1.78</v>
      </c>
      <c r="F348" s="4"/>
      <c r="G348" s="4"/>
      <c r="H348" s="4">
        <v>1.78</v>
      </c>
      <c r="I348" s="2" t="s">
        <v>420</v>
      </c>
      <c r="J348" s="4"/>
      <c r="L348" s="2" t="s">
        <v>247</v>
      </c>
      <c r="M348" s="46" t="s">
        <v>856</v>
      </c>
    </row>
    <row r="349" spans="3:13">
      <c r="C349" s="575" t="s">
        <v>1413</v>
      </c>
      <c r="D349" s="2" t="s">
        <v>832</v>
      </c>
      <c r="E349" s="4">
        <v>0.2</v>
      </c>
      <c r="F349" s="4"/>
      <c r="G349" s="4"/>
      <c r="H349" s="4">
        <v>0.2</v>
      </c>
      <c r="I349" s="2" t="s">
        <v>420</v>
      </c>
      <c r="J349" s="4"/>
      <c r="L349" s="2" t="s">
        <v>247</v>
      </c>
      <c r="M349" s="105" t="s">
        <v>833</v>
      </c>
    </row>
    <row r="350" spans="3:13">
      <c r="C350" s="507" t="s">
        <v>1365</v>
      </c>
      <c r="D350" s="2" t="s">
        <v>902</v>
      </c>
      <c r="E350" s="4">
        <v>0.34</v>
      </c>
      <c r="F350" s="4"/>
      <c r="G350" s="4"/>
      <c r="H350" s="4">
        <v>0.34</v>
      </c>
      <c r="I350" s="2" t="s">
        <v>420</v>
      </c>
      <c r="J350" s="4"/>
      <c r="L350" s="2" t="s">
        <v>247</v>
      </c>
      <c r="M350" s="103" t="s">
        <v>475</v>
      </c>
    </row>
    <row r="351" spans="3:13">
      <c r="C351" s="507" t="s">
        <v>1366</v>
      </c>
      <c r="D351" s="2" t="s">
        <v>903</v>
      </c>
      <c r="E351" s="4"/>
      <c r="F351" s="4"/>
      <c r="G351" s="4"/>
      <c r="H351" s="4">
        <v>0.28999999999999998</v>
      </c>
      <c r="I351" s="2" t="s">
        <v>420</v>
      </c>
      <c r="J351" s="4"/>
      <c r="L351" s="2" t="s">
        <v>247</v>
      </c>
      <c r="M351" s="105" t="s">
        <v>475</v>
      </c>
    </row>
    <row r="352" spans="3:13">
      <c r="C352" s="507" t="s">
        <v>1367</v>
      </c>
      <c r="D352" s="2" t="s">
        <v>904</v>
      </c>
      <c r="E352" s="4"/>
      <c r="F352" s="4"/>
      <c r="G352" s="4"/>
      <c r="H352" s="4">
        <v>0.7</v>
      </c>
      <c r="I352" s="2" t="s">
        <v>420</v>
      </c>
      <c r="J352" s="4"/>
      <c r="L352" s="2" t="s">
        <v>247</v>
      </c>
      <c r="M352" s="45" t="s">
        <v>870</v>
      </c>
    </row>
    <row r="353" spans="3:13">
      <c r="C353" s="507" t="s">
        <v>1368</v>
      </c>
      <c r="D353" s="2" t="s">
        <v>905</v>
      </c>
      <c r="E353" s="4">
        <v>4.34</v>
      </c>
      <c r="F353" s="4"/>
      <c r="G353" s="4"/>
      <c r="H353" s="4">
        <v>4.34</v>
      </c>
      <c r="I353" s="2" t="s">
        <v>420</v>
      </c>
      <c r="J353" s="4"/>
      <c r="L353" s="2" t="s">
        <v>247</v>
      </c>
      <c r="M353" s="46" t="s">
        <v>856</v>
      </c>
    </row>
    <row r="354" spans="3:13">
      <c r="C354" s="507" t="s">
        <v>1369</v>
      </c>
      <c r="D354" s="2" t="s">
        <v>906</v>
      </c>
      <c r="E354" s="4">
        <v>0.46</v>
      </c>
      <c r="F354" s="4"/>
      <c r="G354" s="4"/>
      <c r="H354" s="4">
        <v>0.46</v>
      </c>
      <c r="I354" s="2" t="s">
        <v>420</v>
      </c>
      <c r="J354" s="4"/>
      <c r="L354" s="2" t="s">
        <v>247</v>
      </c>
      <c r="M354" s="46" t="s">
        <v>856</v>
      </c>
    </row>
    <row r="355" spans="3:13">
      <c r="C355" s="507" t="s">
        <v>1370</v>
      </c>
      <c r="D355" s="2" t="s">
        <v>907</v>
      </c>
      <c r="E355" s="4">
        <v>0.44</v>
      </c>
      <c r="F355" s="4"/>
      <c r="G355" s="4"/>
      <c r="H355" s="4">
        <v>0.44</v>
      </c>
      <c r="I355" s="2" t="s">
        <v>420</v>
      </c>
      <c r="J355" s="4"/>
      <c r="L355" s="2" t="s">
        <v>247</v>
      </c>
      <c r="M355" s="46" t="s">
        <v>856</v>
      </c>
    </row>
    <row r="356" spans="3:13">
      <c r="C356" s="507" t="s">
        <v>1371</v>
      </c>
      <c r="D356" s="2" t="s">
        <v>908</v>
      </c>
      <c r="E356" s="4"/>
      <c r="F356" s="4"/>
      <c r="G356" s="4"/>
      <c r="H356" s="4">
        <v>0.4</v>
      </c>
      <c r="I356" s="2" t="s">
        <v>420</v>
      </c>
      <c r="J356" s="4"/>
      <c r="L356" s="2" t="s">
        <v>247</v>
      </c>
      <c r="M356" s="45" t="s">
        <v>870</v>
      </c>
    </row>
    <row r="357" spans="3:13">
      <c r="C357" s="507" t="s">
        <v>1372</v>
      </c>
      <c r="D357" s="2" t="s">
        <v>909</v>
      </c>
      <c r="E357" s="4">
        <v>1.45</v>
      </c>
      <c r="F357" s="4"/>
      <c r="G357" s="4"/>
      <c r="H357" s="4">
        <v>1.45</v>
      </c>
      <c r="I357" s="2" t="s">
        <v>420</v>
      </c>
      <c r="J357" s="4"/>
      <c r="L357" s="2" t="s">
        <v>247</v>
      </c>
      <c r="M357" s="103" t="s">
        <v>475</v>
      </c>
    </row>
    <row r="358" spans="3:13">
      <c r="C358" s="507" t="s">
        <v>1373</v>
      </c>
      <c r="D358" s="2" t="s">
        <v>910</v>
      </c>
      <c r="E358" s="4"/>
      <c r="F358" s="4"/>
      <c r="G358" s="4"/>
      <c r="H358" s="4">
        <v>0.35</v>
      </c>
      <c r="I358" s="2" t="s">
        <v>420</v>
      </c>
      <c r="J358" s="4"/>
      <c r="L358" s="2" t="s">
        <v>247</v>
      </c>
      <c r="M358" s="105" t="s">
        <v>475</v>
      </c>
    </row>
    <row r="359" spans="3:13">
      <c r="C359" s="507" t="s">
        <v>1374</v>
      </c>
      <c r="D359" s="2" t="s">
        <v>911</v>
      </c>
      <c r="E359" s="4">
        <v>1.52</v>
      </c>
      <c r="F359" s="4"/>
      <c r="G359" s="4"/>
      <c r="H359" s="4">
        <v>1.52</v>
      </c>
      <c r="I359" s="2" t="s">
        <v>420</v>
      </c>
      <c r="J359" s="4"/>
      <c r="L359" s="2" t="s">
        <v>247</v>
      </c>
      <c r="M359" s="103" t="s">
        <v>475</v>
      </c>
    </row>
    <row r="360" spans="3:13">
      <c r="C360" s="507" t="s">
        <v>1375</v>
      </c>
      <c r="D360" s="2" t="s">
        <v>912</v>
      </c>
      <c r="E360" s="4">
        <v>0.32</v>
      </c>
      <c r="F360" s="4"/>
      <c r="G360" s="4"/>
      <c r="H360" s="4">
        <v>0.32</v>
      </c>
      <c r="I360" s="2" t="s">
        <v>420</v>
      </c>
      <c r="J360" s="4"/>
      <c r="L360" s="2" t="s">
        <v>247</v>
      </c>
      <c r="M360" s="103" t="s">
        <v>475</v>
      </c>
    </row>
    <row r="361" spans="3:13">
      <c r="C361" s="507" t="s">
        <v>1376</v>
      </c>
      <c r="D361" s="2" t="s">
        <v>913</v>
      </c>
      <c r="E361" s="4">
        <v>2.71</v>
      </c>
      <c r="F361" s="4"/>
      <c r="G361" s="4"/>
      <c r="H361" s="4">
        <v>2.71</v>
      </c>
      <c r="I361" s="2" t="s">
        <v>420</v>
      </c>
      <c r="J361" s="4"/>
      <c r="L361" s="2" t="s">
        <v>247</v>
      </c>
      <c r="M361" s="103" t="s">
        <v>475</v>
      </c>
    </row>
    <row r="362" spans="3:13">
      <c r="C362" s="507" t="s">
        <v>1377</v>
      </c>
      <c r="D362" s="2" t="s">
        <v>914</v>
      </c>
      <c r="E362" s="4">
        <v>3.05</v>
      </c>
      <c r="F362" s="4"/>
      <c r="G362" s="4"/>
      <c r="H362" s="4">
        <v>3.05</v>
      </c>
      <c r="I362" s="2" t="s">
        <v>420</v>
      </c>
      <c r="J362" s="4"/>
      <c r="L362" s="2" t="s">
        <v>247</v>
      </c>
      <c r="M362" s="46" t="s">
        <v>856</v>
      </c>
    </row>
    <row r="363" spans="3:13">
      <c r="C363" s="507" t="s">
        <v>1378</v>
      </c>
      <c r="D363" s="2" t="s">
        <v>915</v>
      </c>
      <c r="E363" s="4"/>
      <c r="F363" s="4"/>
      <c r="G363" s="4"/>
      <c r="H363" s="4">
        <v>17.5</v>
      </c>
      <c r="I363" s="2" t="s">
        <v>420</v>
      </c>
      <c r="J363" s="4"/>
      <c r="L363" s="2" t="s">
        <v>247</v>
      </c>
      <c r="M363" s="45" t="s">
        <v>870</v>
      </c>
    </row>
    <row r="364" spans="3:13">
      <c r="C364" s="507" t="s">
        <v>1379</v>
      </c>
      <c r="D364" s="2" t="s">
        <v>916</v>
      </c>
      <c r="E364" s="4"/>
      <c r="F364" s="4"/>
      <c r="G364" s="4"/>
      <c r="H364" s="4">
        <v>10.35</v>
      </c>
      <c r="I364" s="2" t="s">
        <v>420</v>
      </c>
      <c r="J364" s="4"/>
      <c r="L364" s="2" t="s">
        <v>247</v>
      </c>
      <c r="M364" s="45" t="s">
        <v>870</v>
      </c>
    </row>
    <row r="365" spans="3:13">
      <c r="C365" s="507" t="s">
        <v>1380</v>
      </c>
      <c r="D365" s="2" t="s">
        <v>917</v>
      </c>
      <c r="E365" s="4">
        <v>0.93</v>
      </c>
      <c r="F365" s="4"/>
      <c r="G365" s="4"/>
      <c r="H365" s="4">
        <v>0.93</v>
      </c>
      <c r="I365" s="2" t="s">
        <v>420</v>
      </c>
      <c r="J365" s="4"/>
      <c r="L365" s="2" t="s">
        <v>247</v>
      </c>
      <c r="M365" s="103" t="s">
        <v>475</v>
      </c>
    </row>
    <row r="366" spans="3:13">
      <c r="C366" s="507" t="s">
        <v>1381</v>
      </c>
      <c r="D366" s="2" t="s">
        <v>918</v>
      </c>
      <c r="E366" s="4"/>
      <c r="F366" s="4"/>
      <c r="G366" s="4"/>
      <c r="H366" s="4">
        <v>0.32</v>
      </c>
      <c r="I366" s="2" t="s">
        <v>420</v>
      </c>
      <c r="J366" s="4"/>
      <c r="L366" s="2" t="s">
        <v>247</v>
      </c>
      <c r="M366" s="103" t="s">
        <v>475</v>
      </c>
    </row>
    <row r="367" spans="3:13">
      <c r="C367" s="507" t="s">
        <v>1382</v>
      </c>
      <c r="D367" s="2" t="s">
        <v>919</v>
      </c>
      <c r="E367" s="4">
        <v>1.36</v>
      </c>
      <c r="F367" s="4"/>
      <c r="G367" s="4"/>
      <c r="H367" s="4">
        <v>1.36</v>
      </c>
      <c r="I367" s="2" t="s">
        <v>420</v>
      </c>
      <c r="J367" s="4"/>
      <c r="L367" s="2" t="s">
        <v>247</v>
      </c>
      <c r="M367" s="48" t="s">
        <v>856</v>
      </c>
    </row>
    <row r="368" spans="3:13">
      <c r="C368" s="507" t="s">
        <v>1383</v>
      </c>
      <c r="D368" s="2" t="s">
        <v>920</v>
      </c>
      <c r="E368" s="4"/>
      <c r="F368" s="4"/>
      <c r="G368" s="4"/>
      <c r="H368" s="4">
        <v>0.42</v>
      </c>
      <c r="I368" s="2" t="s">
        <v>420</v>
      </c>
      <c r="J368" s="4"/>
      <c r="L368" s="2" t="s">
        <v>247</v>
      </c>
      <c r="M368" s="103" t="s">
        <v>475</v>
      </c>
    </row>
    <row r="369" spans="3:13">
      <c r="C369" s="507" t="s">
        <v>1384</v>
      </c>
      <c r="D369" s="2" t="s">
        <v>921</v>
      </c>
      <c r="E369" s="4"/>
      <c r="F369" s="4"/>
      <c r="G369" s="4"/>
      <c r="H369" s="4">
        <v>0.96</v>
      </c>
      <c r="I369" s="2" t="s">
        <v>420</v>
      </c>
      <c r="J369" s="4"/>
      <c r="L369" s="2" t="s">
        <v>247</v>
      </c>
      <c r="M369" s="103" t="s">
        <v>475</v>
      </c>
    </row>
    <row r="370" spans="3:13">
      <c r="C370" s="507" t="s">
        <v>1385</v>
      </c>
      <c r="D370" s="2" t="s">
        <v>922</v>
      </c>
      <c r="E370" s="4"/>
      <c r="F370" s="4"/>
      <c r="G370" s="4"/>
      <c r="H370" s="4">
        <v>0.27</v>
      </c>
      <c r="I370" s="2" t="s">
        <v>420</v>
      </c>
      <c r="J370" s="4"/>
      <c r="L370" s="2" t="s">
        <v>247</v>
      </c>
      <c r="M370" s="103" t="s">
        <v>475</v>
      </c>
    </row>
    <row r="371" spans="3:13">
      <c r="C371" s="507" t="s">
        <v>1386</v>
      </c>
      <c r="D371" s="2" t="s">
        <v>923</v>
      </c>
      <c r="E371" s="4"/>
      <c r="F371" s="4"/>
      <c r="G371" s="4"/>
      <c r="H371" s="4">
        <v>0.28000000000000003</v>
      </c>
      <c r="I371" s="2" t="s">
        <v>420</v>
      </c>
      <c r="J371" s="4"/>
      <c r="L371" s="2" t="s">
        <v>247</v>
      </c>
      <c r="M371" s="103" t="s">
        <v>475</v>
      </c>
    </row>
    <row r="372" spans="3:13" ht="32.5">
      <c r="C372" s="507" t="s">
        <v>1387</v>
      </c>
      <c r="D372" s="2" t="s">
        <v>924</v>
      </c>
      <c r="E372" s="4"/>
      <c r="F372" s="4"/>
      <c r="G372" s="4"/>
      <c r="H372" s="4">
        <v>7.6999999999999999E-2</v>
      </c>
      <c r="I372" s="2" t="s">
        <v>420</v>
      </c>
      <c r="J372" s="4">
        <v>1.1599999999999999</v>
      </c>
      <c r="K372" s="2" t="s">
        <v>421</v>
      </c>
      <c r="L372" s="2" t="s">
        <v>247</v>
      </c>
      <c r="M372" s="45" t="s">
        <v>925</v>
      </c>
    </row>
    <row r="373" spans="3:13">
      <c r="C373" s="507" t="s">
        <v>1388</v>
      </c>
      <c r="D373" s="2" t="s">
        <v>926</v>
      </c>
      <c r="E373" s="4">
        <v>1.2</v>
      </c>
      <c r="F373" s="4"/>
      <c r="G373" s="4"/>
      <c r="H373" s="4">
        <v>1.2</v>
      </c>
      <c r="I373" s="2" t="s">
        <v>420</v>
      </c>
      <c r="J373" s="4"/>
      <c r="L373" s="2" t="s">
        <v>247</v>
      </c>
      <c r="M373" s="103" t="s">
        <v>927</v>
      </c>
    </row>
    <row r="374" spans="3:13">
      <c r="C374" s="499" t="s">
        <v>1389</v>
      </c>
      <c r="D374" s="2" t="s">
        <v>928</v>
      </c>
      <c r="E374" s="4">
        <v>3.66</v>
      </c>
      <c r="F374" s="4"/>
      <c r="G374" s="4"/>
      <c r="H374" s="4">
        <v>3.66</v>
      </c>
      <c r="I374" s="2" t="s">
        <v>420</v>
      </c>
      <c r="J374" s="4"/>
      <c r="L374" s="2" t="s">
        <v>247</v>
      </c>
      <c r="M374" s="48" t="s">
        <v>856</v>
      </c>
    </row>
    <row r="375" spans="3:13">
      <c r="C375" s="575" t="s">
        <v>1670</v>
      </c>
      <c r="D375" s="575" t="s">
        <v>1671</v>
      </c>
      <c r="E375" s="4">
        <v>4.3099999999999996</v>
      </c>
      <c r="F375" s="4"/>
      <c r="G375" s="4"/>
      <c r="H375" s="4">
        <v>4.3099999999999996</v>
      </c>
      <c r="I375" s="2" t="s">
        <v>420</v>
      </c>
      <c r="J375" s="4"/>
      <c r="L375" s="2" t="s">
        <v>247</v>
      </c>
      <c r="M375" s="48" t="s">
        <v>856</v>
      </c>
    </row>
    <row r="376" spans="3:13">
      <c r="C376" s="507" t="s">
        <v>1390</v>
      </c>
      <c r="D376" s="2" t="s">
        <v>929</v>
      </c>
      <c r="E376" s="4"/>
      <c r="F376" s="4"/>
      <c r="G376" s="4"/>
      <c r="H376" s="4">
        <v>4.1500000000000004</v>
      </c>
      <c r="I376" s="2" t="s">
        <v>420</v>
      </c>
      <c r="J376" s="4"/>
      <c r="L376" s="2" t="s">
        <v>247</v>
      </c>
      <c r="M376" s="105" t="s">
        <v>475</v>
      </c>
    </row>
    <row r="377" spans="3:13">
      <c r="C377" s="507" t="s">
        <v>1391</v>
      </c>
      <c r="D377" s="2" t="s">
        <v>930</v>
      </c>
      <c r="E377" s="4"/>
      <c r="F377" s="4"/>
      <c r="G377" s="4"/>
      <c r="H377" s="4">
        <v>0.2354</v>
      </c>
      <c r="I377" s="2" t="s">
        <v>420</v>
      </c>
      <c r="J377" s="4">
        <v>0.374</v>
      </c>
      <c r="K377" s="2" t="s">
        <v>421</v>
      </c>
      <c r="L377" s="2" t="s">
        <v>853</v>
      </c>
      <c r="M377" s="45" t="s">
        <v>931</v>
      </c>
    </row>
    <row r="378" spans="3:13">
      <c r="C378" s="507" t="s">
        <v>1392</v>
      </c>
      <c r="D378" s="2" t="s">
        <v>932</v>
      </c>
      <c r="E378" s="4">
        <v>0.28000000000000003</v>
      </c>
      <c r="F378" s="4"/>
      <c r="G378" s="4"/>
      <c r="H378" s="4">
        <v>0.28000000000000003</v>
      </c>
      <c r="I378" s="2" t="s">
        <v>420</v>
      </c>
      <c r="J378" s="4"/>
      <c r="L378" s="2" t="s">
        <v>247</v>
      </c>
      <c r="M378" s="48" t="s">
        <v>856</v>
      </c>
    </row>
    <row r="379" spans="3:13">
      <c r="C379" s="507" t="s">
        <v>1393</v>
      </c>
      <c r="D379" s="2" t="s">
        <v>933</v>
      </c>
      <c r="E379" s="4"/>
      <c r="F379" s="4"/>
      <c r="G379" s="4"/>
      <c r="H379" s="4">
        <v>0.41</v>
      </c>
      <c r="I379" s="2" t="s">
        <v>420</v>
      </c>
      <c r="J379" s="4"/>
      <c r="L379" s="2" t="s">
        <v>247</v>
      </c>
      <c r="M379" s="103" t="s">
        <v>475</v>
      </c>
    </row>
    <row r="380" spans="3:13">
      <c r="C380" s="507" t="s">
        <v>1394</v>
      </c>
      <c r="D380" s="2" t="s">
        <v>934</v>
      </c>
      <c r="E380" s="4">
        <v>1.66</v>
      </c>
      <c r="F380" s="4"/>
      <c r="G380" s="4"/>
      <c r="H380" s="4">
        <v>1.66</v>
      </c>
      <c r="I380" s="2" t="s">
        <v>420</v>
      </c>
      <c r="J380" s="4"/>
      <c r="L380" s="2" t="s">
        <v>247</v>
      </c>
      <c r="M380" s="48" t="s">
        <v>856</v>
      </c>
    </row>
    <row r="381" spans="3:13">
      <c r="C381" s="507" t="s">
        <v>1395</v>
      </c>
      <c r="D381" s="2" t="s">
        <v>935</v>
      </c>
      <c r="E381" s="4"/>
      <c r="F381" s="4"/>
      <c r="G381" s="4"/>
      <c r="H381" s="4">
        <v>0.77</v>
      </c>
      <c r="I381" s="2" t="s">
        <v>420</v>
      </c>
      <c r="J381" s="4"/>
      <c r="L381" s="2" t="s">
        <v>247</v>
      </c>
      <c r="M381" s="103" t="s">
        <v>475</v>
      </c>
    </row>
    <row r="382" spans="3:13">
      <c r="C382" s="507" t="s">
        <v>1396</v>
      </c>
      <c r="D382" s="2" t="s">
        <v>936</v>
      </c>
      <c r="E382" s="4"/>
      <c r="F382" s="4"/>
      <c r="G382" s="4"/>
      <c r="H382" s="4">
        <v>0.27</v>
      </c>
      <c r="I382" s="2" t="s">
        <v>420</v>
      </c>
      <c r="J382" s="4"/>
      <c r="L382" s="2" t="s">
        <v>247</v>
      </c>
      <c r="M382" s="103" t="s">
        <v>475</v>
      </c>
    </row>
    <row r="383" spans="3:13">
      <c r="C383" s="507" t="s">
        <v>1397</v>
      </c>
      <c r="D383" s="2" t="s">
        <v>937</v>
      </c>
      <c r="E383" s="4"/>
      <c r="F383" s="4"/>
      <c r="G383" s="4"/>
      <c r="H383" s="4">
        <v>0.35</v>
      </c>
      <c r="I383" s="2" t="s">
        <v>420</v>
      </c>
      <c r="J383" s="4"/>
      <c r="L383" s="2" t="s">
        <v>247</v>
      </c>
      <c r="M383" s="103" t="s">
        <v>475</v>
      </c>
    </row>
    <row r="384" spans="3:13">
      <c r="C384" s="507" t="s">
        <v>1398</v>
      </c>
      <c r="D384" s="2" t="s">
        <v>938</v>
      </c>
      <c r="E384" s="4"/>
      <c r="F384" s="4"/>
      <c r="G384" s="4"/>
      <c r="H384" s="4">
        <v>1.01</v>
      </c>
      <c r="I384" s="2" t="s">
        <v>420</v>
      </c>
      <c r="J384" s="4"/>
      <c r="L384" s="2" t="s">
        <v>853</v>
      </c>
      <c r="M384" s="49" t="s">
        <v>939</v>
      </c>
    </row>
    <row r="385" spans="3:13">
      <c r="C385" s="507" t="s">
        <v>1399</v>
      </c>
      <c r="D385" s="2" t="s">
        <v>940</v>
      </c>
      <c r="E385" s="4"/>
      <c r="F385" s="4"/>
      <c r="G385" s="4"/>
      <c r="H385" s="4">
        <v>0.37</v>
      </c>
      <c r="I385" s="2" t="s">
        <v>420</v>
      </c>
      <c r="J385" s="4"/>
      <c r="L385" s="2" t="s">
        <v>247</v>
      </c>
      <c r="M385" s="105" t="s">
        <v>475</v>
      </c>
    </row>
    <row r="386" spans="3:13">
      <c r="C386" s="507" t="s">
        <v>1400</v>
      </c>
      <c r="D386" s="2" t="s">
        <v>941</v>
      </c>
      <c r="E386" s="4"/>
      <c r="F386" s="4"/>
      <c r="G386" s="4"/>
      <c r="H386" s="4">
        <v>0.4</v>
      </c>
      <c r="I386" s="2" t="s">
        <v>420</v>
      </c>
      <c r="J386" s="4"/>
      <c r="L386" s="2" t="s">
        <v>247</v>
      </c>
      <c r="M386" s="103" t="s">
        <v>475</v>
      </c>
    </row>
    <row r="387" spans="3:13">
      <c r="C387" s="507" t="s">
        <v>1401</v>
      </c>
      <c r="D387" s="2" t="s">
        <v>942</v>
      </c>
      <c r="E387" s="4"/>
      <c r="F387" s="4"/>
      <c r="G387" s="4"/>
      <c r="H387" s="4">
        <v>0.45</v>
      </c>
      <c r="I387" s="2" t="s">
        <v>420</v>
      </c>
      <c r="J387" s="4"/>
      <c r="L387" s="2" t="s">
        <v>247</v>
      </c>
      <c r="M387" s="45" t="s">
        <v>870</v>
      </c>
    </row>
    <row r="388" spans="3:13">
      <c r="C388" s="507" t="s">
        <v>1402</v>
      </c>
      <c r="D388" s="2" t="s">
        <v>943</v>
      </c>
      <c r="E388" s="4"/>
      <c r="F388" s="4"/>
      <c r="G388" s="4"/>
      <c r="H388" s="4">
        <v>0.3</v>
      </c>
      <c r="I388" s="2" t="s">
        <v>420</v>
      </c>
      <c r="J388" s="4"/>
      <c r="L388" s="2" t="s">
        <v>247</v>
      </c>
      <c r="M388" s="103" t="s">
        <v>475</v>
      </c>
    </row>
    <row r="389" spans="3:13">
      <c r="C389" s="507" t="s">
        <v>1403</v>
      </c>
      <c r="D389" s="2" t="s">
        <v>944</v>
      </c>
      <c r="E389" s="4"/>
      <c r="F389" s="4"/>
      <c r="G389" s="4"/>
      <c r="H389" s="4">
        <v>3.77</v>
      </c>
      <c r="I389" s="2" t="s">
        <v>420</v>
      </c>
      <c r="J389" s="4"/>
      <c r="L389" s="2" t="s">
        <v>247</v>
      </c>
      <c r="M389" s="103" t="s">
        <v>475</v>
      </c>
    </row>
    <row r="390" spans="3:13">
      <c r="C390" s="507" t="s">
        <v>1404</v>
      </c>
      <c r="D390" s="2" t="s">
        <v>945</v>
      </c>
      <c r="E390" s="4"/>
      <c r="F390" s="4"/>
      <c r="G390" s="4"/>
      <c r="H390" s="4">
        <v>0.36</v>
      </c>
      <c r="I390" s="2" t="s">
        <v>420</v>
      </c>
      <c r="J390" s="4"/>
      <c r="L390" s="2" t="s">
        <v>247</v>
      </c>
      <c r="M390" s="103" t="s">
        <v>475</v>
      </c>
    </row>
    <row r="391" spans="3:13">
      <c r="C391" s="507" t="s">
        <v>1405</v>
      </c>
      <c r="D391" s="2" t="s">
        <v>946</v>
      </c>
      <c r="E391" s="4"/>
      <c r="F391" s="4"/>
      <c r="G391" s="4"/>
      <c r="H391" s="4">
        <v>0.25</v>
      </c>
      <c r="I391" s="2" t="s">
        <v>420</v>
      </c>
      <c r="J391" s="4"/>
      <c r="L391" s="2" t="s">
        <v>247</v>
      </c>
      <c r="M391" s="103" t="s">
        <v>475</v>
      </c>
    </row>
    <row r="392" spans="3:13">
      <c r="C392" s="507" t="s">
        <v>1406</v>
      </c>
      <c r="D392" s="2" t="s">
        <v>947</v>
      </c>
      <c r="E392" s="4"/>
      <c r="F392" s="4"/>
      <c r="G392" s="4"/>
      <c r="H392" s="4">
        <v>1.5</v>
      </c>
      <c r="I392" s="2" t="s">
        <v>420</v>
      </c>
      <c r="J392" s="4"/>
      <c r="L392" s="2" t="s">
        <v>247</v>
      </c>
      <c r="M392" s="45" t="s">
        <v>870</v>
      </c>
    </row>
    <row r="393" spans="3:13">
      <c r="C393" s="507" t="s">
        <v>1407</v>
      </c>
      <c r="D393" s="2" t="s">
        <v>948</v>
      </c>
      <c r="E393" s="4"/>
      <c r="F393" s="4"/>
      <c r="G393" s="4"/>
      <c r="H393" s="4">
        <v>0.25</v>
      </c>
      <c r="I393" s="2" t="s">
        <v>420</v>
      </c>
      <c r="L393" s="2" t="s">
        <v>247</v>
      </c>
      <c r="M393" s="103" t="s">
        <v>475</v>
      </c>
    </row>
    <row r="394" spans="3:13">
      <c r="C394" s="47" t="s">
        <v>949</v>
      </c>
      <c r="D394" s="47" t="s">
        <v>949</v>
      </c>
      <c r="E394" s="107">
        <v>1.6</v>
      </c>
      <c r="F394" s="107"/>
      <c r="G394" s="107"/>
      <c r="H394" s="107">
        <v>1.76</v>
      </c>
      <c r="I394" s="2" t="s">
        <v>420</v>
      </c>
      <c r="J394" s="107"/>
      <c r="K394" s="47"/>
      <c r="L394" s="47" t="s">
        <v>247</v>
      </c>
      <c r="M394" s="104" t="s">
        <v>950</v>
      </c>
    </row>
    <row r="395" spans="3:13" ht="22">
      <c r="C395" s="2" t="s">
        <v>951</v>
      </c>
      <c r="D395" s="2" t="s">
        <v>952</v>
      </c>
      <c r="E395" s="4"/>
      <c r="F395" s="4"/>
      <c r="G395" s="4"/>
      <c r="H395" s="4">
        <v>4.4000000000000004</v>
      </c>
      <c r="I395" s="2" t="s">
        <v>420</v>
      </c>
      <c r="J395" s="4"/>
      <c r="L395" s="2" t="s">
        <v>247</v>
      </c>
      <c r="M395" s="46" t="s">
        <v>953</v>
      </c>
    </row>
    <row r="396" spans="3:13" ht="22">
      <c r="C396" s="2" t="s">
        <v>954</v>
      </c>
      <c r="D396" s="2" t="s">
        <v>346</v>
      </c>
      <c r="E396" s="4"/>
      <c r="F396" s="4"/>
      <c r="G396" s="4"/>
      <c r="H396" s="4">
        <v>9.7299999999999998E-2</v>
      </c>
      <c r="I396" s="2" t="s">
        <v>420</v>
      </c>
      <c r="J396" s="4">
        <v>3.6</v>
      </c>
      <c r="K396" s="2" t="s">
        <v>421</v>
      </c>
      <c r="L396" s="2" t="s">
        <v>241</v>
      </c>
      <c r="M396" s="45" t="s">
        <v>955</v>
      </c>
    </row>
    <row r="397" spans="3:13">
      <c r="C397" s="2" t="s">
        <v>956</v>
      </c>
      <c r="D397" s="2" t="s">
        <v>956</v>
      </c>
      <c r="E397" s="4"/>
      <c r="F397" s="4"/>
      <c r="G397" s="4"/>
      <c r="H397" s="4">
        <v>0.61</v>
      </c>
      <c r="I397" s="2" t="s">
        <v>420</v>
      </c>
      <c r="J397" s="4">
        <v>11.93</v>
      </c>
      <c r="K397" s="2" t="s">
        <v>421</v>
      </c>
      <c r="L397" s="2" t="s">
        <v>247</v>
      </c>
      <c r="M397" s="45" t="s">
        <v>957</v>
      </c>
    </row>
    <row r="398" spans="3:13">
      <c r="C398" s="2" t="s">
        <v>958</v>
      </c>
      <c r="D398" s="2" t="s">
        <v>958</v>
      </c>
      <c r="E398" s="4">
        <v>4.5199999999999996</v>
      </c>
      <c r="F398" s="4"/>
      <c r="G398" s="4"/>
      <c r="H398" s="4">
        <v>4.87</v>
      </c>
      <c r="I398" s="2" t="s">
        <v>420</v>
      </c>
      <c r="J398" s="107"/>
      <c r="K398" s="47"/>
      <c r="L398" s="47" t="s">
        <v>247</v>
      </c>
      <c r="M398" s="104" t="s">
        <v>959</v>
      </c>
    </row>
    <row r="399" spans="3:13">
      <c r="C399" s="47" t="s">
        <v>960</v>
      </c>
      <c r="D399" s="47" t="s">
        <v>961</v>
      </c>
      <c r="E399" s="107">
        <v>1.6</v>
      </c>
      <c r="F399" s="107"/>
      <c r="G399" s="107"/>
      <c r="H399" s="107">
        <v>1.76</v>
      </c>
      <c r="I399" s="2" t="s">
        <v>420</v>
      </c>
      <c r="J399" s="107"/>
      <c r="K399" s="47"/>
      <c r="L399" s="47" t="s">
        <v>247</v>
      </c>
      <c r="M399" s="106" t="s">
        <v>962</v>
      </c>
    </row>
    <row r="400" spans="3:13">
      <c r="C400" s="2" t="s">
        <v>963</v>
      </c>
      <c r="D400" s="2" t="s">
        <v>963</v>
      </c>
      <c r="E400" s="4"/>
      <c r="F400" s="4"/>
      <c r="G400" s="4"/>
      <c r="H400" s="4">
        <v>1.06</v>
      </c>
      <c r="I400" s="2" t="s">
        <v>420</v>
      </c>
      <c r="J400" s="4"/>
      <c r="L400" s="2" t="s">
        <v>247</v>
      </c>
      <c r="M400" s="46" t="s">
        <v>964</v>
      </c>
    </row>
    <row r="401" spans="3:13">
      <c r="C401" s="575" t="s">
        <v>1669</v>
      </c>
      <c r="D401" s="2" t="s">
        <v>965</v>
      </c>
      <c r="E401" s="4"/>
      <c r="F401" s="4"/>
      <c r="G401" s="4"/>
      <c r="H401" s="4">
        <v>0.88600000000000001</v>
      </c>
      <c r="I401" s="2" t="s">
        <v>420</v>
      </c>
      <c r="J401" s="4"/>
      <c r="L401" s="2" t="s">
        <v>247</v>
      </c>
      <c r="M401" s="46" t="s">
        <v>964</v>
      </c>
    </row>
    <row r="402" spans="3:13">
      <c r="C402" s="2" t="s">
        <v>966</v>
      </c>
      <c r="D402" s="2" t="s">
        <v>967</v>
      </c>
      <c r="E402" s="4"/>
      <c r="F402" s="4"/>
      <c r="G402" s="4"/>
      <c r="H402" s="4">
        <v>0.81899999999999995</v>
      </c>
      <c r="I402" s="2" t="s">
        <v>420</v>
      </c>
      <c r="J402" s="4"/>
      <c r="L402" s="2" t="s">
        <v>247</v>
      </c>
      <c r="M402" s="46" t="s">
        <v>968</v>
      </c>
    </row>
    <row r="403" spans="3:13">
      <c r="C403" s="2" t="s">
        <v>969</v>
      </c>
      <c r="D403" s="2" t="s">
        <v>970</v>
      </c>
      <c r="E403" s="4"/>
      <c r="F403" s="4"/>
      <c r="G403" s="4"/>
      <c r="H403" s="4">
        <v>9.3000000000000007</v>
      </c>
      <c r="I403" s="2" t="s">
        <v>420</v>
      </c>
      <c r="J403" s="4">
        <v>122.2</v>
      </c>
      <c r="K403" s="2" t="s">
        <v>421</v>
      </c>
      <c r="L403" s="2" t="s">
        <v>247</v>
      </c>
      <c r="M403" s="45" t="s">
        <v>971</v>
      </c>
    </row>
    <row r="404" spans="3:13" ht="22">
      <c r="C404" s="2" t="s">
        <v>972</v>
      </c>
      <c r="D404" s="2" t="s">
        <v>972</v>
      </c>
      <c r="E404" s="4"/>
      <c r="F404" s="4"/>
      <c r="G404" s="4"/>
      <c r="H404" s="4">
        <v>2.7</v>
      </c>
      <c r="I404" s="2" t="s">
        <v>420</v>
      </c>
      <c r="J404" s="4">
        <v>78.400000000000006</v>
      </c>
      <c r="K404" s="2" t="s">
        <v>421</v>
      </c>
      <c r="L404" s="2" t="s">
        <v>247</v>
      </c>
      <c r="M404" s="45" t="s">
        <v>973</v>
      </c>
    </row>
    <row r="405" spans="3:13">
      <c r="C405" s="2" t="s">
        <v>974</v>
      </c>
      <c r="D405" s="2" t="s">
        <v>975</v>
      </c>
      <c r="E405" s="4">
        <v>2.42</v>
      </c>
      <c r="F405" s="4"/>
      <c r="G405" s="4"/>
      <c r="H405" s="4">
        <v>2.4300000000000002</v>
      </c>
      <c r="I405" s="2" t="s">
        <v>420</v>
      </c>
      <c r="J405" s="4">
        <v>0.9</v>
      </c>
      <c r="K405" s="2" t="s">
        <v>421</v>
      </c>
      <c r="L405" s="2" t="s">
        <v>247</v>
      </c>
      <c r="M405" s="104" t="s">
        <v>976</v>
      </c>
    </row>
    <row r="406" spans="3:13">
      <c r="C406" s="2" t="s">
        <v>977</v>
      </c>
      <c r="D406" s="2" t="s">
        <v>978</v>
      </c>
      <c r="E406" s="4">
        <v>2.59</v>
      </c>
      <c r="F406" s="4"/>
      <c r="G406" s="4"/>
      <c r="H406" s="4">
        <v>2.61</v>
      </c>
      <c r="I406" s="2" t="s">
        <v>420</v>
      </c>
      <c r="J406" s="4">
        <v>3</v>
      </c>
      <c r="K406" s="2" t="s">
        <v>421</v>
      </c>
      <c r="L406" s="2" t="s">
        <v>247</v>
      </c>
      <c r="M406" s="104" t="s">
        <v>979</v>
      </c>
    </row>
    <row r="407" spans="3:13">
      <c r="C407" s="2" t="s">
        <v>980</v>
      </c>
      <c r="D407" s="2" t="s">
        <v>981</v>
      </c>
      <c r="E407" s="4">
        <v>1.72</v>
      </c>
      <c r="F407" s="4"/>
      <c r="G407" s="4"/>
      <c r="H407" s="4">
        <v>1.66</v>
      </c>
      <c r="I407" s="2" t="s">
        <v>420</v>
      </c>
      <c r="J407" s="4"/>
      <c r="L407" s="2" t="s">
        <v>247</v>
      </c>
      <c r="M407" s="104" t="s">
        <v>982</v>
      </c>
    </row>
    <row r="408" spans="3:13">
      <c r="C408" s="2" t="s">
        <v>983</v>
      </c>
      <c r="D408" s="2" t="s">
        <v>984</v>
      </c>
      <c r="E408" s="4">
        <v>2.87</v>
      </c>
      <c r="F408" s="4"/>
      <c r="G408" s="4"/>
      <c r="H408" s="4">
        <v>2.88</v>
      </c>
      <c r="I408" s="2" t="s">
        <v>420</v>
      </c>
      <c r="J408" s="4">
        <v>6.3</v>
      </c>
      <c r="K408" s="2" t="s">
        <v>421</v>
      </c>
      <c r="L408" s="2" t="s">
        <v>247</v>
      </c>
      <c r="M408" s="104" t="s">
        <v>985</v>
      </c>
    </row>
    <row r="409" spans="3:13">
      <c r="C409" s="2" t="s">
        <v>986</v>
      </c>
      <c r="D409" s="2" t="s">
        <v>987</v>
      </c>
      <c r="E409" s="4">
        <v>2.86</v>
      </c>
      <c r="F409" s="4"/>
      <c r="G409" s="4"/>
      <c r="H409" s="4">
        <v>2.9</v>
      </c>
      <c r="I409" s="2" t="s">
        <v>420</v>
      </c>
      <c r="J409" s="4">
        <v>0.6</v>
      </c>
      <c r="K409" s="2" t="s">
        <v>421</v>
      </c>
      <c r="L409" s="2" t="s">
        <v>247</v>
      </c>
      <c r="M409" s="104" t="s">
        <v>988</v>
      </c>
    </row>
    <row r="410" spans="3:13">
      <c r="C410" s="2" t="s">
        <v>989</v>
      </c>
      <c r="D410" s="2" t="s">
        <v>990</v>
      </c>
      <c r="E410" s="4">
        <v>4.2</v>
      </c>
      <c r="F410" s="4"/>
      <c r="G410" s="4"/>
      <c r="H410" s="4">
        <v>4.38</v>
      </c>
      <c r="I410" s="2" t="s">
        <v>420</v>
      </c>
      <c r="J410" s="4">
        <v>3.81</v>
      </c>
      <c r="K410" s="2" t="s">
        <v>421</v>
      </c>
      <c r="L410" s="2" t="s">
        <v>247</v>
      </c>
      <c r="M410" s="104" t="s">
        <v>991</v>
      </c>
    </row>
    <row r="411" spans="3:13">
      <c r="C411" s="2" t="s">
        <v>992</v>
      </c>
      <c r="D411" s="2" t="s">
        <v>993</v>
      </c>
      <c r="E411" s="4">
        <v>2.13</v>
      </c>
      <c r="F411" s="4"/>
      <c r="G411" s="4"/>
      <c r="H411" s="4">
        <v>2.2000000000000002</v>
      </c>
      <c r="I411" s="2" t="s">
        <v>420</v>
      </c>
      <c r="J411" s="4">
        <v>1.8</v>
      </c>
      <c r="K411" s="2" t="s">
        <v>421</v>
      </c>
      <c r="L411" s="2" t="s">
        <v>247</v>
      </c>
      <c r="M411" s="104" t="s">
        <v>994</v>
      </c>
    </row>
    <row r="412" spans="3:13">
      <c r="C412" s="2" t="s">
        <v>995</v>
      </c>
      <c r="D412" s="2" t="s">
        <v>996</v>
      </c>
      <c r="E412" s="4">
        <v>1.81</v>
      </c>
      <c r="F412" s="4"/>
      <c r="G412" s="4"/>
      <c r="H412" s="4">
        <v>1.86</v>
      </c>
      <c r="I412" s="2" t="s">
        <v>420</v>
      </c>
      <c r="J412" s="4">
        <v>1.18</v>
      </c>
      <c r="K412" s="2" t="s">
        <v>421</v>
      </c>
      <c r="L412" s="2" t="s">
        <v>247</v>
      </c>
      <c r="M412" s="104" t="s">
        <v>997</v>
      </c>
    </row>
    <row r="413" spans="3:13">
      <c r="C413" s="2" t="s">
        <v>998</v>
      </c>
      <c r="D413" s="2" t="s">
        <v>999</v>
      </c>
      <c r="E413" s="4">
        <v>1.75</v>
      </c>
      <c r="F413" s="4"/>
      <c r="G413" s="4"/>
      <c r="H413" s="4">
        <v>1.8</v>
      </c>
      <c r="I413" s="2" t="s">
        <v>420</v>
      </c>
      <c r="J413" s="4">
        <v>0.72</v>
      </c>
      <c r="K413" s="2" t="s">
        <v>421</v>
      </c>
      <c r="L413" s="2" t="s">
        <v>247</v>
      </c>
      <c r="M413" s="104" t="s">
        <v>1000</v>
      </c>
    </row>
    <row r="414" spans="3:13">
      <c r="C414" s="2" t="s">
        <v>1001</v>
      </c>
      <c r="D414" s="2" t="s">
        <v>1001</v>
      </c>
      <c r="E414" s="4"/>
      <c r="F414" s="4"/>
      <c r="G414" s="4"/>
      <c r="H414" s="4">
        <v>0.25</v>
      </c>
      <c r="I414" s="2" t="s">
        <v>420</v>
      </c>
      <c r="J414" s="4">
        <v>3.3</v>
      </c>
      <c r="K414" s="2" t="s">
        <v>421</v>
      </c>
      <c r="L414" s="2" t="s">
        <v>247</v>
      </c>
      <c r="M414" s="45" t="s">
        <v>1002</v>
      </c>
    </row>
    <row r="415" spans="3:13" ht="22">
      <c r="C415" s="2" t="s">
        <v>1003</v>
      </c>
      <c r="D415" s="2" t="s">
        <v>1003</v>
      </c>
      <c r="H415" s="4">
        <v>6.9</v>
      </c>
      <c r="I415" s="2" t="s">
        <v>420</v>
      </c>
      <c r="L415" s="507" t="s">
        <v>247</v>
      </c>
      <c r="M415" s="46" t="s">
        <v>506</v>
      </c>
    </row>
    <row r="416" spans="3:13">
      <c r="C416" s="2" t="s">
        <v>1004</v>
      </c>
      <c r="D416" s="2" t="s">
        <v>1004</v>
      </c>
      <c r="E416" s="4"/>
      <c r="F416" s="4"/>
      <c r="G416" s="4"/>
      <c r="H416" s="4">
        <v>0.46100000000000002</v>
      </c>
      <c r="I416" s="2" t="s">
        <v>420</v>
      </c>
      <c r="J416" s="4"/>
      <c r="L416" s="2" t="s">
        <v>247</v>
      </c>
      <c r="M416" s="45" t="s">
        <v>1005</v>
      </c>
    </row>
    <row r="417" spans="3:13" ht="22">
      <c r="C417" s="2" t="s">
        <v>1006</v>
      </c>
      <c r="D417" s="2" t="s">
        <v>1006</v>
      </c>
      <c r="H417" s="4">
        <v>2.5</v>
      </c>
      <c r="I417" s="2" t="s">
        <v>420</v>
      </c>
      <c r="L417" s="507" t="s">
        <v>247</v>
      </c>
      <c r="M417" s="46" t="s">
        <v>506</v>
      </c>
    </row>
    <row r="418" spans="3:13" ht="22">
      <c r="C418" s="2" t="s">
        <v>1007</v>
      </c>
      <c r="D418" s="2" t="s">
        <v>1007</v>
      </c>
      <c r="H418" s="4">
        <v>2654</v>
      </c>
      <c r="I418" s="2" t="s">
        <v>420</v>
      </c>
      <c r="L418" s="2" t="s">
        <v>505</v>
      </c>
      <c r="M418" s="46" t="s">
        <v>506</v>
      </c>
    </row>
    <row r="419" spans="3:13">
      <c r="C419" s="2" t="s">
        <v>1008</v>
      </c>
      <c r="D419" s="2" t="s">
        <v>1009</v>
      </c>
      <c r="E419" s="4"/>
      <c r="F419" s="4"/>
      <c r="G419" s="4"/>
      <c r="H419" s="4">
        <v>1.87</v>
      </c>
      <c r="I419" s="2" t="s">
        <v>420</v>
      </c>
      <c r="J419" s="4">
        <v>22.85</v>
      </c>
      <c r="K419" s="2" t="s">
        <v>421</v>
      </c>
      <c r="L419" s="2" t="s">
        <v>247</v>
      </c>
      <c r="M419" s="45" t="s">
        <v>1010</v>
      </c>
    </row>
    <row r="420" spans="3:13" ht="22">
      <c r="C420" s="2" t="s">
        <v>1011</v>
      </c>
      <c r="D420" s="2" t="s">
        <v>1012</v>
      </c>
      <c r="E420" s="4"/>
      <c r="F420" s="4"/>
      <c r="G420" s="4"/>
      <c r="H420" s="4">
        <v>1.5</v>
      </c>
      <c r="I420" s="2" t="s">
        <v>420</v>
      </c>
      <c r="J420" s="4">
        <v>20.100000000000001</v>
      </c>
      <c r="K420" s="2" t="s">
        <v>421</v>
      </c>
      <c r="L420" s="2" t="s">
        <v>247</v>
      </c>
      <c r="M420" s="45" t="s">
        <v>1013</v>
      </c>
    </row>
    <row r="421" spans="3:13" ht="43">
      <c r="C421" s="2" t="s">
        <v>1014</v>
      </c>
      <c r="D421" s="2" t="s">
        <v>1015</v>
      </c>
      <c r="E421" s="4"/>
      <c r="F421" s="4"/>
      <c r="G421" s="4"/>
      <c r="H421" s="4">
        <v>1.87</v>
      </c>
      <c r="I421" s="2" t="s">
        <v>420</v>
      </c>
      <c r="J421" s="4">
        <v>26.3</v>
      </c>
      <c r="K421" s="2" t="s">
        <v>421</v>
      </c>
      <c r="L421" s="2" t="s">
        <v>247</v>
      </c>
      <c r="M421" s="45" t="s">
        <v>1016</v>
      </c>
    </row>
    <row r="422" spans="3:13">
      <c r="C422" s="2" t="s">
        <v>1017</v>
      </c>
      <c r="D422" s="2" t="s">
        <v>1018</v>
      </c>
      <c r="E422" s="4"/>
      <c r="F422" s="4"/>
      <c r="G422" s="4"/>
      <c r="H422" s="4">
        <v>1.03</v>
      </c>
      <c r="I422" s="2" t="s">
        <v>420</v>
      </c>
      <c r="J422" s="4">
        <v>10.63</v>
      </c>
      <c r="K422" s="2" t="s">
        <v>421</v>
      </c>
      <c r="L422" s="2" t="s">
        <v>247</v>
      </c>
      <c r="M422" s="45" t="s">
        <v>1019</v>
      </c>
    </row>
    <row r="423" spans="3:13" ht="43">
      <c r="C423" s="2" t="s">
        <v>1020</v>
      </c>
      <c r="D423" s="2" t="s">
        <v>1021</v>
      </c>
      <c r="E423" s="4"/>
      <c r="F423" s="4"/>
      <c r="G423" s="4"/>
      <c r="H423" s="4">
        <v>1.43</v>
      </c>
      <c r="I423" s="2" t="s">
        <v>420</v>
      </c>
      <c r="J423" s="4">
        <v>14.68</v>
      </c>
      <c r="K423" s="2" t="s">
        <v>421</v>
      </c>
      <c r="L423" s="2" t="s">
        <v>247</v>
      </c>
      <c r="M423" s="45" t="s">
        <v>1022</v>
      </c>
    </row>
    <row r="424" spans="3:13">
      <c r="C424" s="2" t="s">
        <v>1023</v>
      </c>
      <c r="D424" s="2" t="s">
        <v>1023</v>
      </c>
      <c r="E424" s="4"/>
      <c r="F424" s="4"/>
      <c r="G424" s="4"/>
      <c r="H424" s="4">
        <v>0.35199999999999998</v>
      </c>
      <c r="I424" s="2" t="s">
        <v>420</v>
      </c>
      <c r="J424" s="4"/>
      <c r="L424" s="2" t="s">
        <v>247</v>
      </c>
      <c r="M424" s="45" t="s">
        <v>1024</v>
      </c>
    </row>
    <row r="425" spans="3:13">
      <c r="C425" s="2" t="s">
        <v>1025</v>
      </c>
      <c r="D425" s="2" t="s">
        <v>1026</v>
      </c>
      <c r="E425" s="4"/>
      <c r="F425" s="4"/>
      <c r="G425" s="4"/>
      <c r="H425" s="4">
        <v>0.19900000000000001</v>
      </c>
      <c r="I425" s="2" t="s">
        <v>420</v>
      </c>
      <c r="J425" s="4"/>
      <c r="L425" s="2" t="s">
        <v>247</v>
      </c>
      <c r="M425" s="45" t="s">
        <v>1027</v>
      </c>
    </row>
    <row r="426" spans="3:13">
      <c r="C426" s="2" t="s">
        <v>1028</v>
      </c>
      <c r="D426" s="2" t="s">
        <v>1029</v>
      </c>
      <c r="E426" s="4"/>
      <c r="F426" s="4"/>
      <c r="G426" s="4"/>
      <c r="H426" s="4">
        <v>4.4800000000000004</v>
      </c>
      <c r="I426" s="2" t="s">
        <v>420</v>
      </c>
      <c r="J426" s="4">
        <v>92</v>
      </c>
      <c r="K426" s="2" t="s">
        <v>421</v>
      </c>
      <c r="L426" s="2" t="s">
        <v>247</v>
      </c>
      <c r="M426" s="45" t="s">
        <v>1030</v>
      </c>
    </row>
    <row r="427" spans="3:13" ht="22">
      <c r="C427" s="2" t="s">
        <v>1031</v>
      </c>
      <c r="D427" s="2" t="s">
        <v>1032</v>
      </c>
      <c r="E427" s="4"/>
      <c r="F427" s="4"/>
      <c r="G427" s="4"/>
      <c r="H427" s="4">
        <v>2.66</v>
      </c>
      <c r="I427" s="2" t="s">
        <v>420</v>
      </c>
      <c r="J427" s="4">
        <v>91.27</v>
      </c>
      <c r="K427" s="2" t="s">
        <v>421</v>
      </c>
      <c r="L427" s="2" t="s">
        <v>247</v>
      </c>
      <c r="M427" s="45" t="s">
        <v>1033</v>
      </c>
    </row>
    <row r="428" spans="3:13" ht="32.5">
      <c r="C428" s="2" t="s">
        <v>1034</v>
      </c>
      <c r="D428" s="2" t="s">
        <v>1034</v>
      </c>
      <c r="E428" s="4"/>
      <c r="F428" s="4"/>
      <c r="G428" s="4"/>
      <c r="H428" s="4">
        <v>2.1899999999999999E-2</v>
      </c>
      <c r="I428" s="2" t="s">
        <v>420</v>
      </c>
      <c r="J428" s="4">
        <v>3772</v>
      </c>
      <c r="K428" s="2" t="s">
        <v>421</v>
      </c>
      <c r="L428" s="2" t="s">
        <v>247</v>
      </c>
      <c r="M428" s="45" t="s">
        <v>433</v>
      </c>
    </row>
    <row r="429" spans="3:13">
      <c r="C429" s="2" t="s">
        <v>1035</v>
      </c>
      <c r="D429" s="507" t="s">
        <v>1036</v>
      </c>
      <c r="H429" s="4">
        <v>3.9</v>
      </c>
      <c r="I429" s="2" t="s">
        <v>420</v>
      </c>
      <c r="L429" s="507" t="s">
        <v>505</v>
      </c>
      <c r="M429" s="46" t="s">
        <v>508</v>
      </c>
    </row>
    <row r="430" spans="3:13" ht="22">
      <c r="C430" s="2" t="s">
        <v>1037</v>
      </c>
      <c r="D430" s="2" t="s">
        <v>1037</v>
      </c>
      <c r="H430" s="4">
        <v>377</v>
      </c>
      <c r="I430" s="2" t="s">
        <v>420</v>
      </c>
      <c r="L430" s="2" t="s">
        <v>505</v>
      </c>
      <c r="M430" s="46" t="s">
        <v>506</v>
      </c>
    </row>
    <row r="431" spans="3:13">
      <c r="C431" s="2" t="s">
        <v>1038</v>
      </c>
      <c r="D431" s="2" t="s">
        <v>1039</v>
      </c>
      <c r="E431" s="4"/>
      <c r="F431" s="4"/>
      <c r="G431" s="4"/>
      <c r="H431" s="4">
        <v>0.28000000000000003</v>
      </c>
      <c r="I431" s="2" t="s">
        <v>420</v>
      </c>
      <c r="J431" s="4">
        <v>42.7</v>
      </c>
      <c r="K431" s="2" t="s">
        <v>421</v>
      </c>
      <c r="L431" s="2" t="s">
        <v>247</v>
      </c>
      <c r="M431" s="45" t="s">
        <v>1040</v>
      </c>
    </row>
    <row r="432" spans="3:13" ht="32.5">
      <c r="C432" s="2" t="s">
        <v>1041</v>
      </c>
      <c r="D432" s="2" t="s">
        <v>1042</v>
      </c>
      <c r="E432" s="4"/>
      <c r="F432" s="4"/>
      <c r="G432" s="4"/>
      <c r="H432" s="4">
        <v>4.5</v>
      </c>
      <c r="I432" s="2" t="s">
        <v>420</v>
      </c>
      <c r="J432" s="4">
        <v>76.400000000000006</v>
      </c>
      <c r="K432" s="2" t="s">
        <v>421</v>
      </c>
      <c r="L432" s="2" t="s">
        <v>247</v>
      </c>
      <c r="M432" s="45" t="s">
        <v>1043</v>
      </c>
    </row>
    <row r="433" spans="3:13">
      <c r="C433" s="47" t="s">
        <v>1044</v>
      </c>
      <c r="D433" s="47" t="s">
        <v>1045</v>
      </c>
      <c r="E433" s="107">
        <v>2.2000000000000002</v>
      </c>
      <c r="F433" s="107"/>
      <c r="G433" s="107"/>
      <c r="H433" s="107">
        <v>2.42</v>
      </c>
      <c r="I433" s="2" t="s">
        <v>420</v>
      </c>
      <c r="J433" s="107"/>
      <c r="K433" s="47"/>
      <c r="L433" s="47" t="s">
        <v>247</v>
      </c>
      <c r="M433" s="104" t="s">
        <v>1046</v>
      </c>
    </row>
    <row r="434" spans="3:13">
      <c r="C434" s="47" t="s">
        <v>1047</v>
      </c>
      <c r="D434" s="47" t="s">
        <v>1047</v>
      </c>
      <c r="E434" s="107">
        <v>1.52</v>
      </c>
      <c r="F434" s="107"/>
      <c r="G434" s="107"/>
      <c r="H434" s="107">
        <v>1.68</v>
      </c>
      <c r="I434" s="47" t="s">
        <v>420</v>
      </c>
      <c r="J434" s="107"/>
      <c r="K434" s="47"/>
      <c r="L434" s="47" t="s">
        <v>247</v>
      </c>
      <c r="M434" s="106" t="s">
        <v>1048</v>
      </c>
    </row>
    <row r="435" spans="3:13" ht="22">
      <c r="C435" s="2" t="s">
        <v>1049</v>
      </c>
      <c r="D435" s="2" t="s">
        <v>1049</v>
      </c>
      <c r="H435" s="4">
        <v>1335</v>
      </c>
      <c r="I435" s="2" t="s">
        <v>420</v>
      </c>
      <c r="L435" s="2" t="s">
        <v>505</v>
      </c>
      <c r="M435" s="46" t="s">
        <v>506</v>
      </c>
    </row>
    <row r="436" spans="3:13" ht="22">
      <c r="C436" s="2" t="s">
        <v>1050</v>
      </c>
      <c r="D436" s="2" t="s">
        <v>1050</v>
      </c>
      <c r="H436" s="4">
        <v>2688</v>
      </c>
      <c r="I436" s="2" t="s">
        <v>420</v>
      </c>
      <c r="L436" s="2" t="s">
        <v>505</v>
      </c>
      <c r="M436" s="46" t="s">
        <v>506</v>
      </c>
    </row>
    <row r="437" spans="3:13" ht="22">
      <c r="C437" s="2" t="s">
        <v>1051</v>
      </c>
      <c r="D437" s="2" t="s">
        <v>1052</v>
      </c>
      <c r="E437" s="4"/>
      <c r="F437" s="4"/>
      <c r="G437" s="4"/>
      <c r="H437" s="4">
        <v>3.38</v>
      </c>
      <c r="I437" s="2" t="s">
        <v>420</v>
      </c>
      <c r="J437" s="4">
        <v>89.6</v>
      </c>
      <c r="K437" s="2" t="s">
        <v>421</v>
      </c>
      <c r="L437" s="2" t="s">
        <v>247</v>
      </c>
      <c r="M437" s="45" t="s">
        <v>487</v>
      </c>
    </row>
    <row r="438" spans="3:13">
      <c r="C438" s="2" t="s">
        <v>1053</v>
      </c>
      <c r="D438" s="2" t="s">
        <v>1053</v>
      </c>
      <c r="E438" s="4">
        <v>0.91</v>
      </c>
      <c r="F438" s="4"/>
      <c r="G438" s="4"/>
      <c r="H438" s="4">
        <v>0.92700000000000005</v>
      </c>
      <c r="I438" s="2" t="s">
        <v>420</v>
      </c>
      <c r="J438" s="4">
        <v>0.32500000000000001</v>
      </c>
      <c r="K438" s="2" t="s">
        <v>421</v>
      </c>
      <c r="L438" s="2" t="s">
        <v>247</v>
      </c>
      <c r="M438" s="104" t="s">
        <v>1054</v>
      </c>
    </row>
    <row r="439" spans="3:13" ht="22">
      <c r="C439" s="2" t="s">
        <v>1055</v>
      </c>
      <c r="D439" s="2" t="s">
        <v>1056</v>
      </c>
      <c r="E439" s="4"/>
      <c r="F439" s="4"/>
      <c r="G439" s="4"/>
      <c r="H439" s="4">
        <v>0.88</v>
      </c>
      <c r="I439" s="2" t="s">
        <v>420</v>
      </c>
      <c r="J439" s="4">
        <v>4.33</v>
      </c>
      <c r="K439" s="2" t="s">
        <v>421</v>
      </c>
      <c r="L439" s="2" t="s">
        <v>247</v>
      </c>
      <c r="M439" s="45" t="s">
        <v>1057</v>
      </c>
    </row>
    <row r="440" spans="3:13">
      <c r="C440" s="2" t="s">
        <v>1058</v>
      </c>
      <c r="D440" s="2" t="s">
        <v>1059</v>
      </c>
      <c r="E440" s="4"/>
      <c r="F440" s="4"/>
      <c r="G440" s="4"/>
      <c r="H440" s="4">
        <v>0.7</v>
      </c>
      <c r="I440" s="2" t="s">
        <v>420</v>
      </c>
      <c r="J440" s="4">
        <v>2.78</v>
      </c>
      <c r="K440" s="2" t="s">
        <v>421</v>
      </c>
      <c r="L440" s="2" t="s">
        <v>247</v>
      </c>
      <c r="M440" s="45" t="s">
        <v>1060</v>
      </c>
    </row>
    <row r="441" spans="3:13" ht="22">
      <c r="C441" s="2" t="s">
        <v>1061</v>
      </c>
      <c r="D441" s="2" t="s">
        <v>1061</v>
      </c>
      <c r="E441" s="4"/>
      <c r="F441" s="4"/>
      <c r="G441" s="4"/>
      <c r="H441" s="4">
        <v>1.0900000000000001</v>
      </c>
      <c r="I441" s="2" t="s">
        <v>420</v>
      </c>
      <c r="J441" s="4">
        <v>10.4</v>
      </c>
      <c r="K441" s="2" t="s">
        <v>421</v>
      </c>
      <c r="L441" s="2" t="s">
        <v>247</v>
      </c>
      <c r="M441" s="45" t="s">
        <v>1062</v>
      </c>
    </row>
    <row r="442" spans="3:13">
      <c r="C442" s="47" t="s">
        <v>1063</v>
      </c>
      <c r="D442" s="47" t="s">
        <v>1064</v>
      </c>
      <c r="E442" s="107">
        <v>3.98</v>
      </c>
      <c r="F442" s="107"/>
      <c r="G442" s="107"/>
      <c r="H442" s="107">
        <v>4.49</v>
      </c>
      <c r="I442" s="47" t="s">
        <v>420</v>
      </c>
      <c r="J442" s="107"/>
      <c r="K442" s="47"/>
      <c r="L442" s="47" t="s">
        <v>247</v>
      </c>
      <c r="M442" s="104" t="s">
        <v>1065</v>
      </c>
    </row>
    <row r="443" spans="3:13">
      <c r="C443" s="7"/>
      <c r="D443" s="7"/>
      <c r="E443" s="7"/>
      <c r="F443" s="7"/>
    </row>
    <row r="444" spans="3:13">
      <c r="C444" s="547" t="s">
        <v>1066</v>
      </c>
      <c r="D444" s="99"/>
      <c r="E444" s="99"/>
      <c r="F444" s="99"/>
      <c r="G444" s="99"/>
      <c r="H444" s="99"/>
      <c r="I444" s="99"/>
      <c r="J444" s="99"/>
      <c r="K444" s="99"/>
      <c r="L444" s="99"/>
      <c r="M444" s="100"/>
    </row>
    <row r="445" spans="3:13">
      <c r="C445" s="547" t="s">
        <v>1066</v>
      </c>
      <c r="D445" s="99"/>
      <c r="E445" s="99"/>
      <c r="F445" s="99"/>
      <c r="G445" s="99"/>
      <c r="H445" s="99"/>
      <c r="I445" s="99"/>
      <c r="J445" s="99"/>
      <c r="K445" s="99"/>
      <c r="L445" s="99"/>
      <c r="M445" s="100"/>
    </row>
    <row r="446" spans="3:13">
      <c r="C446" s="547" t="s">
        <v>1066</v>
      </c>
      <c r="D446" s="99"/>
      <c r="E446" s="99"/>
      <c r="F446" s="99"/>
      <c r="G446" s="99"/>
      <c r="H446" s="99"/>
      <c r="I446" s="99"/>
      <c r="J446" s="99"/>
      <c r="K446" s="99"/>
      <c r="L446" s="99"/>
      <c r="M446" s="100"/>
    </row>
    <row r="447" spans="3:13">
      <c r="C447" s="547" t="s">
        <v>1066</v>
      </c>
      <c r="D447" s="99"/>
      <c r="E447" s="99"/>
      <c r="F447" s="99"/>
      <c r="G447" s="99"/>
      <c r="H447" s="99"/>
      <c r="I447" s="99"/>
      <c r="J447" s="99"/>
      <c r="K447" s="99"/>
      <c r="L447" s="99"/>
      <c r="M447" s="100"/>
    </row>
    <row r="448" spans="3:13">
      <c r="C448" s="547" t="s">
        <v>1066</v>
      </c>
      <c r="D448" s="99"/>
      <c r="E448" s="99"/>
      <c r="F448" s="99"/>
      <c r="G448" s="99"/>
      <c r="H448" s="99"/>
      <c r="I448" s="99"/>
      <c r="J448" s="99"/>
      <c r="K448" s="99"/>
      <c r="L448" s="99"/>
      <c r="M448" s="100"/>
    </row>
    <row r="449" spans="3:13">
      <c r="C449" s="547" t="s">
        <v>1066</v>
      </c>
      <c r="D449" s="99"/>
      <c r="E449" s="99"/>
      <c r="F449" s="99"/>
      <c r="G449" s="99"/>
      <c r="H449" s="99"/>
      <c r="I449" s="99"/>
      <c r="J449" s="99"/>
      <c r="K449" s="99"/>
      <c r="L449" s="99"/>
      <c r="M449" s="100"/>
    </row>
    <row r="450" spans="3:13">
      <c r="C450" s="547" t="s">
        <v>1066</v>
      </c>
      <c r="D450" s="99"/>
      <c r="E450" s="99"/>
      <c r="F450" s="99"/>
      <c r="G450" s="99"/>
      <c r="H450" s="99"/>
      <c r="I450" s="99"/>
      <c r="J450" s="99"/>
      <c r="K450" s="99"/>
      <c r="L450" s="99"/>
      <c r="M450" s="100"/>
    </row>
    <row r="451" spans="3:13">
      <c r="C451" s="547" t="s">
        <v>1066</v>
      </c>
      <c r="D451" s="99"/>
      <c r="E451" s="99"/>
      <c r="F451" s="99"/>
      <c r="G451" s="99"/>
      <c r="H451" s="99"/>
      <c r="I451" s="99"/>
      <c r="J451" s="99"/>
      <c r="K451" s="99"/>
      <c r="L451" s="99"/>
      <c r="M451" s="100"/>
    </row>
    <row r="452" spans="3:13">
      <c r="C452" s="547" t="s">
        <v>1066</v>
      </c>
      <c r="D452" s="99"/>
      <c r="E452" s="99"/>
      <c r="F452" s="99"/>
      <c r="G452" s="99"/>
      <c r="H452" s="99"/>
      <c r="I452" s="99"/>
      <c r="J452" s="99"/>
      <c r="K452" s="99"/>
      <c r="L452" s="99"/>
      <c r="M452" s="100"/>
    </row>
    <row r="453" spans="3:13">
      <c r="C453" s="547" t="s">
        <v>1066</v>
      </c>
      <c r="D453" s="99"/>
      <c r="E453" s="99"/>
      <c r="F453" s="99"/>
      <c r="G453" s="99"/>
      <c r="H453" s="99"/>
      <c r="I453" s="99"/>
      <c r="J453" s="99"/>
      <c r="K453" s="99"/>
      <c r="L453" s="99"/>
      <c r="M453" s="100"/>
    </row>
  </sheetData>
  <sortState xmlns:xlrd2="http://schemas.microsoft.com/office/spreadsheetml/2017/richdata2" ref="C4:M91">
    <sortCondition ref="D4:D91"/>
  </sortState>
  <phoneticPr fontId="36" type="noConversion"/>
  <hyperlinks>
    <hyperlink ref="M395" r:id="rId1" display="https://www.winnipeg.ca/finance/findata/matmgt/documents/2012/682-2012/682-2012_Appendix_H-WSTP_South_End_Plant_Process_Selection_Report/Appendix 7.pdf" xr:uid="{00000000-0004-0000-0E00-000000000000}"/>
    <hyperlink ref="M18" r:id="rId2" xr:uid="{00000000-0004-0000-0E00-000001000000}"/>
    <hyperlink ref="M305" r:id="rId3" xr:uid="{00000000-0004-0000-0E00-000002000000}"/>
    <hyperlink ref="M384" r:id="rId4" xr:uid="{00000000-0004-0000-0E00-000003000000}"/>
    <hyperlink ref="M331" r:id="rId5" xr:uid="{00000000-0004-0000-0E00-000004000000}"/>
    <hyperlink ref="M301" r:id="rId6" display="https://de.statista.com/statistik/daten/studie/1074324/umfrage/zusammensetzung-der-co2-emissionen-bei-der-herstellung-von-e-autobatterien" xr:uid="{00000000-0004-0000-0E00-000005000000}"/>
    <hyperlink ref="M401" r:id="rId7" xr:uid="{00000000-0004-0000-0E00-000006000000}"/>
    <hyperlink ref="M400" r:id="rId8" xr:uid="{00000000-0004-0000-0E00-000007000000}"/>
    <hyperlink ref="M337" r:id="rId9" display="https://www.klimatarier.com/de/CO2_Rechner" xr:uid="{DA487A29-C72B-40E7-AC96-FE2F912905ED}"/>
    <hyperlink ref="M381" r:id="rId10" display="https://www.klimatarier.com/de/CO2_Rechner" xr:uid="{C65AF548-A45D-4BD4-83F6-AB6FB80AC256}"/>
    <hyperlink ref="M311" r:id="rId11" display="https://www.klimatarier.com/de/CO2_Rechner" xr:uid="{B9285C6D-489E-4572-9AF5-6C079ECD9F7C}"/>
    <hyperlink ref="M316" r:id="rId12" display="https://www.klimatarier.com/de/CO2_Rechner" xr:uid="{E3B83483-9E79-4BAC-A1BB-43477A000792}"/>
    <hyperlink ref="M326" r:id="rId13" display="https://www.klimatarier.com/de/CO2_Rechner" xr:uid="{D4DBED10-206A-4F0F-BF47-349BD372D068}"/>
    <hyperlink ref="M332" r:id="rId14" display="https://www.klimatarier.com/de/CO2_Rechner" xr:uid="{7567039C-D245-445D-A38A-747121E9B9A3}"/>
    <hyperlink ref="M335" r:id="rId15" display="https://www.klimatarier.com/de/CO2_Rechner" xr:uid="{BD258D02-C6EC-4F32-A4DF-17FBEC5D222E}"/>
    <hyperlink ref="M351" r:id="rId16" display="https://www.klimatarier.com/de/CO2_Rechner" xr:uid="{9A517BDE-F357-4290-99DE-5307913BDCCD}"/>
    <hyperlink ref="M358" r:id="rId17" display="https://www.klimatarier.com/de/CO2_Rechner" xr:uid="{222FDE82-6EA6-4950-A7B4-1D9909ADFE1B}"/>
    <hyperlink ref="M393" r:id="rId18" display="https://www.klimatarier.com/de/CO2_Rechner" xr:uid="{87F94003-1F5B-4C20-8FEB-44F82AD5BE68}"/>
    <hyperlink ref="M313" r:id="rId19" display="https://www.klimatarier.com/de/CO2_Rechner" xr:uid="{2E1748A1-3BFF-48F8-BE94-CB9964085AF5}"/>
    <hyperlink ref="M391" r:id="rId20" display="https://www.klimatarier.com/de/CO2_Rechner" xr:uid="{120E3093-8FB1-4D3B-8A15-941E34376452}"/>
    <hyperlink ref="M390" r:id="rId21" display="https://www.klimatarier.com/de/CO2_Rechner" xr:uid="{BAF05EDE-D1E9-4F77-944F-C348941373FA}"/>
    <hyperlink ref="M388" r:id="rId22" display="https://www.klimatarier.com/de/CO2_Rechner" xr:uid="{81C0C268-451E-471F-AB89-486834DCF6DF}"/>
    <hyperlink ref="M386" r:id="rId23" display="https://www.klimatarier.com/de/CO2_Rechner" xr:uid="{2FA1D3CF-D00F-44FC-A7D8-7BF7AFD6A43F}"/>
    <hyperlink ref="M385" r:id="rId24" display="https://www.klimatarier.com/de/CO2_Rechner" xr:uid="{82852108-2792-410A-8FF2-78E966D9DD57}"/>
    <hyperlink ref="M383" r:id="rId25" display="https://www.klimatarier.com/de/CO2_Rechner" xr:uid="{B46EF4D2-B940-409A-9AD2-52F8C6B12A25}"/>
    <hyperlink ref="M382" r:id="rId26" display="https://www.klimatarier.com/de/CO2_Rechner" xr:uid="{A5F1A1AC-591E-4AAE-A84D-E7F48A13E75D}"/>
    <hyperlink ref="M379" r:id="rId27" display="https://www.klimatarier.com/de/CO2_Rechner" xr:uid="{78C179E6-2139-4702-8D43-DEB7563D0AE5}"/>
    <hyperlink ref="M371" r:id="rId28" display="https://www.klimatarier.com/de/CO2_Rechner" xr:uid="{9D24E02D-5D75-4E30-8F4A-F1FF82A2A341}"/>
    <hyperlink ref="M370" r:id="rId29" display="https://www.klimatarier.com/de/CO2_Rechner" xr:uid="{C7A5FFF3-F0EE-4669-842A-BB296D42426C}"/>
    <hyperlink ref="M369" r:id="rId30" display="https://www.klimatarier.com/de/CO2_Rechner" xr:uid="{EF1F6FE5-A46D-4314-9F90-BC72CDA209C0}"/>
    <hyperlink ref="M368" r:id="rId31" display="https://www.klimatarier.com/de/CO2_Rechner" xr:uid="{E88C8ECE-90D3-4D3D-A894-4AA103F09F90}"/>
    <hyperlink ref="M366" r:id="rId32" display="https://www.klimatarier.com/de/CO2_Rechner" xr:uid="{540A5AA1-D31F-464B-9B8D-3132F5C6E9B6}"/>
    <hyperlink ref="M323" r:id="rId33" display="https://www.klimatarier.com/de/CO2_Rechner" xr:uid="{6526411F-61B5-4AF3-B94B-81AC0344465D}"/>
    <hyperlink ref="M324" r:id="rId34" display="https://www.klimatarier.com/de/CO2_Rechner" xr:uid="{C222444B-155D-4887-91A8-695836DD1F93}"/>
    <hyperlink ref="M389" r:id="rId35" display="https://www.klimatarier.com/de/CO2_Rechner" xr:uid="{5AEA99BA-AB5F-44CD-847F-91FDB3346A35}"/>
    <hyperlink ref="M315" r:id="rId36" display="https://www.klimatarier.com/de/CO2_Rechner" xr:uid="{9D48035C-EAFA-48DF-A20C-AAC876366F4C}"/>
    <hyperlink ref="M314" r:id="rId37" display="https://www.klimatarier.com/de/CO2_Rechner" xr:uid="{79E7CA87-8F14-48FA-ABD8-B60B72BE7102}"/>
    <hyperlink ref="M376" r:id="rId38" display="https://www.klimatarier.com/de/CO2_Rechner" xr:uid="{5F92CCEB-4E37-4451-8F6C-8EDD55502266}"/>
    <hyperlink ref="M303" r:id="rId39" display="https://www.klimatarier.com/de/CO2_Rechner" xr:uid="{0F9FF996-C819-4E6D-BC11-7F7D74A83C0D}"/>
    <hyperlink ref="M304" r:id="rId40" display="https://www.klimatarier.com/de/CO2_Rechner" xr:uid="{F8D9A086-0236-4A02-B3DD-35A253163AE6}"/>
    <hyperlink ref="M302" r:id="rId41" display="https://www.klimatarier.com/de/CO2_Rechner" xr:uid="{C849D395-D4A3-4E2D-8F22-E36534FAC9A2}"/>
    <hyperlink ref="M6" r:id="rId42" xr:uid="{4D329A43-7BD4-48FF-B885-546688AEF3A3}"/>
    <hyperlink ref="M312" r:id="rId43" xr:uid="{0B49EC82-D8A9-47EC-8E63-A13E57B0BE4D}"/>
    <hyperlink ref="M325" r:id="rId44" xr:uid="{2DCA9B68-4901-4C60-9301-E057B94F4C79}"/>
    <hyperlink ref="M319" r:id="rId45" xr:uid="{47C491C3-2D2D-4460-875D-B6506326DC04}"/>
    <hyperlink ref="M321" r:id="rId46" xr:uid="{F5A8A46D-BF5F-4DD2-9986-40D1CD1F1E44}"/>
    <hyperlink ref="M343" r:id="rId47" xr:uid="{297D585D-3B8D-4CFB-99A5-F28F14343B0D}"/>
    <hyperlink ref="M344" r:id="rId48" xr:uid="{1452A89F-C131-4F81-9E45-659535E4E748}"/>
    <hyperlink ref="M345" r:id="rId49" xr:uid="{9C6B32D9-37A5-4B28-AEE8-B94C5A8B82F2}"/>
    <hyperlink ref="M367" r:id="rId50" xr:uid="{DC22D0D7-44A7-4238-9AAA-9559A57F5D19}"/>
    <hyperlink ref="M378" r:id="rId51" xr:uid="{7FE60E0E-CDE7-4F63-8D1D-8C9EB48CCE55}"/>
    <hyperlink ref="M336" r:id="rId52" display="https://eatsmarter.de/lexikon/warenkunde/gewuerze/knoblauch" xr:uid="{3E7FDE8C-2856-409C-AF30-10CBCC372363}"/>
    <hyperlink ref="M349" r:id="rId53" display="https://eatsmarter.de/lexikon/warenkunde/gemuese/meerrettich" xr:uid="{3899FACF-3AC1-48F7-85E1-F9DB1DF99741}"/>
    <hyperlink ref="M339" r:id="rId54" display="https://eatsmarter.de/lexikon/warenkunde/gewuerze/koriander" xr:uid="{EB6CA5BE-2831-45B8-A2C2-EBD23DB28624}"/>
    <hyperlink ref="M347" r:id="rId55" display="https://eatsmarter.de/lexikon/warenkunde/obst/mandarinen" xr:uid="{8265B2B8-5D83-4605-996E-B078E8EFEEC1}"/>
    <hyperlink ref="M373" r:id="rId56" display="https://eatsmarter.de/lexikon/warenkunde/kohl/sauerkraut" xr:uid="{935059AA-4176-4D0C-A534-73983B6C2C93}"/>
    <hyperlink ref="M310" r:id="rId57" xr:uid="{82BDB710-D620-4D31-985C-C5A092135436}"/>
    <hyperlink ref="M330" r:id="rId58" display="https://www.klimatarier.com/de/CO2_Rechner" xr:uid="{6ED042C9-496A-4559-B266-D46F312E049D}"/>
    <hyperlink ref="M308" r:id="rId59" display="https://www.klimatarier.com/de/CO2_Rechner" xr:uid="{EC8EB3DC-47E6-4449-9CD1-5DA17247D642}"/>
    <hyperlink ref="M327" r:id="rId60" display="https://www.klimatarier.com/de/CO2_Rechner" xr:uid="{C657D29E-D3FC-43CC-93B0-034F0D0E9DC9}"/>
    <hyperlink ref="M338" r:id="rId61" display="https://www.klimatarier.com/de/CO2_Rechner" xr:uid="{8ABF4FCB-49C6-4E2C-A912-DB46E52291A4}"/>
    <hyperlink ref="M348" r:id="rId62" xr:uid="{AD673519-36EB-4759-9CD2-E135302915BC}"/>
    <hyperlink ref="M318" r:id="rId63" xr:uid="{F27BEFA4-2059-457A-8210-AFB292784161}"/>
    <hyperlink ref="M374" r:id="rId64" xr:uid="{D4A13AB4-3B90-4067-B9D8-1002D6755DBF}"/>
    <hyperlink ref="M375" r:id="rId65" xr:uid="{97954F79-1459-416F-BC68-7E9D75A54282}"/>
    <hyperlink ref="M307" r:id="rId66" display="https://www.klimatarier.com/de/CO2_Rechner" xr:uid="{139BB10D-B9E6-46E9-9B00-08AB42CF92D9}"/>
    <hyperlink ref="M346" r:id="rId67" xr:uid="{65D0831C-212A-46C5-82B9-ACC40FF76008}"/>
    <hyperlink ref="M353" r:id="rId68" xr:uid="{93E2B89B-DC0C-43BE-9E20-7AD6B378C010}"/>
    <hyperlink ref="M380" r:id="rId69" xr:uid="{77A0F5CE-FE9D-409E-BAE5-D547CCC2DB7F}"/>
    <hyperlink ref="M333" r:id="rId70" xr:uid="{75818316-10CC-4A66-A97C-2EB41CF3687A}"/>
    <hyperlink ref="M317" r:id="rId71" xr:uid="{E727DF9B-2A77-498E-B606-E5B2E019C511}"/>
    <hyperlink ref="M362" r:id="rId72" xr:uid="{1CDAB646-99B6-4583-B612-6FE3A2403FDE}"/>
    <hyperlink ref="M309" r:id="rId73" xr:uid="{E5B50FA8-8EC5-4883-AE66-EB3533614214}"/>
    <hyperlink ref="M306" r:id="rId74" xr:uid="{6C001D24-99A0-41E7-A251-1609397C4F3D}"/>
    <hyperlink ref="M354" r:id="rId75" xr:uid="{03DBF87E-9AFC-40A7-BB03-692312574939}"/>
    <hyperlink ref="M355" r:id="rId76" xr:uid="{E13BEF27-3DA7-4E18-9ED7-05BA89FE22B6}"/>
    <hyperlink ref="M328" r:id="rId77" display="https://www.klimatarier.com/de/CO2_Rechner" xr:uid="{E4C5A004-E8D5-4781-9006-3552D2544F64}"/>
    <hyperlink ref="M329" r:id="rId78" display="https://www.klimatarier.com/de/CO2_Rechner" xr:uid="{03E9A455-101F-4A5E-B4B9-36FC9552B9A3}"/>
    <hyperlink ref="M334" r:id="rId79" display="https://www.klimatarier.com/de/CO2_Rechner" xr:uid="{1618C0C2-EF6B-407C-91F0-4E4E0B595011}"/>
    <hyperlink ref="M341" r:id="rId80" display="https://www.klimatarier.com/de/CO2_Rechner" xr:uid="{3D936205-E41F-4B9A-98D2-95A4922CBF71}"/>
    <hyperlink ref="M342" r:id="rId81" display="https://www.klimatarier.com/de/CO2_Rechner" xr:uid="{B024D475-A296-4F6E-8352-5C3E170B2D5A}"/>
    <hyperlink ref="M350" r:id="rId82" display="https://www.klimatarier.com/de/CO2_Rechner" xr:uid="{83F545EE-D9D1-43B6-B659-D14E03070CA5}"/>
    <hyperlink ref="M357" r:id="rId83" display="https://www.klimatarier.com/de/CO2_Rechner" xr:uid="{C15E35F2-0A11-4025-BE93-6860608EAD17}"/>
    <hyperlink ref="M359" r:id="rId84" display="https://www.klimatarier.com/de/CO2_Rechner" xr:uid="{EB9C8EB3-D687-4084-B64D-5DB22CA64A5F}"/>
    <hyperlink ref="M360" r:id="rId85" display="https://www.klimatarier.com/de/CO2_Rechner" xr:uid="{811AED5F-E53C-4806-A891-3337A7A5A73A}"/>
    <hyperlink ref="M361" r:id="rId86" display="https://www.klimatarier.com/de/CO2_Rechner" xr:uid="{16235F73-C67D-4844-8E2F-ED3A78C28209}"/>
    <hyperlink ref="M365" r:id="rId87" display="https://www.klimatarier.com/de/CO2_Rechner" xr:uid="{B2D474BD-4802-4134-AE0A-313206090617}"/>
    <hyperlink ref="M340" r:id="rId88" display="https://www.klimatarier.com/de/CO2_Rechner" xr:uid="{F8EA2867-4873-46A2-8404-4718AB67C34A}"/>
    <hyperlink ref="M13" r:id="rId89" display="https://www.probas.umweltbundesamt.de/php/prozessdetails.php?id=%7bE22B8A45-BD70-4BF3-B114-96A0A798FB8C%7d" xr:uid="{919D7FF5-0B6A-4EA1-80CE-8ECFB4C030B3}"/>
    <hyperlink ref="M298" r:id="rId90" display="https://www.probas.umweltbundesamt.de/php/prozessdetails.php?id=%7b0A54E43A-373D-43DB-973B-7915BAFA8207%7d" xr:uid="{609F5634-1336-4A51-9627-927493841E77}"/>
    <hyperlink ref="M394" r:id="rId91" display="https://www.probas.umweltbundesamt.de/php/prozessdetails.php?id=%7bD9B2F188-A457-45C1-A863-65BA7800981D%7d" xr:uid="{C3566DFF-832A-4624-99AB-78DDFFA64E0B}"/>
    <hyperlink ref="M398" r:id="rId92" display="https://www.probas.umweltbundesamt.de/php/prozessdetails.php?id=%7b65C51F09-9F88-4D3C-8858-CFBCACF98D53%7d" xr:uid="{4C3E2135-7E4C-4F39-AC21-4640C1B73C84}"/>
    <hyperlink ref="M25" r:id="rId93" display="https://www.probas.umweltbundesamt.de/php/prozessdetails.php?id=%7bC9EB2BC2-D28C-488C-A118-7F5F9ACBD068%7d" xr:uid="{D2D4D88A-4FCD-491C-96F6-F248DF1E6B7D}"/>
    <hyperlink ref="M433" r:id="rId94" display="https://www.probas.umweltbundesamt.de/php/prozessdetails.php?id=%7b3E42D2A7-41F4-46D6-B82F-3D87E9DDAA89%7d" xr:uid="{AEF73075-4E14-4E32-94E2-15A3142D42BE}"/>
    <hyperlink ref="M20" r:id="rId95" display="https://www.probas.umweltbundesamt.de/php/prozessdetails.php?id=%7b4307FE50-7117-49E3-9D6F-E82A6F594516%7d" xr:uid="{E5C1CD10-975F-46A5-815D-435C6D40DCE3}"/>
    <hyperlink ref="M399" r:id="rId96" display="https://www.probas.umweltbundesamt.de/php/prozessdetails.php?id=%7bE608C47E-D3ED-4B69-AD43-9D90E9A76CDA%7d" xr:uid="{B97FD6C9-1192-44D1-B32B-7FAC3AB3F8D7}"/>
    <hyperlink ref="M434" r:id="rId97" display="https://www.probas.umweltbundesamt.de/php/prozessdetails.php?id=%7b01EEF595-E7E8-48C7-8553-67365C9265F0%7d" xr:uid="{1ACFF532-A166-4917-A0A6-9309C7A8F072}"/>
    <hyperlink ref="M442" r:id="rId98" display="https://www.probas.umweltbundesamt.de/php/prozessdetails.php?id=%7b330A9C89-A696-44BB-AB6F-370FFC9FF2BA%7d" xr:uid="{F5F18B30-D507-43A3-99C1-AAD274FCD8F4}"/>
    <hyperlink ref="M9" r:id="rId99" display="https://www.probas.umweltbundesamt.de/php/prozessdetails.php?id=%7bE92D71D6-3D2F-458A-804F-3C13D77C779D%7d" xr:uid="{EE5F7752-D7D7-4250-B1FA-45262F7AA91D}"/>
    <hyperlink ref="M23" r:id="rId100" display="https://www.probas.umweltbundesamt.de/php/prozessdetails.php?id=%7bFAAD1AF4-C087-4760-A5F6-1D80BC6C2B55%7d" xr:uid="{51A67D6A-502A-4DF1-BA97-CDF6F9E51B95}"/>
    <hyperlink ref="M405" r:id="rId101" display="https://www.probas.umweltbundesamt.de/php/prozessdetails.php?id=%7b17EE0594-3CF6-4901-8690-6019418504BE%7d" xr:uid="{345AF148-0029-4F0B-9E43-64C525139C5B}"/>
    <hyperlink ref="M406" r:id="rId102" display="https://www.probas.umweltbundesamt.de/php/prozessdetails.php?id=%7b48CFC911-59BE-4B9A-B1B0-41FE2AA152A8%7d" xr:uid="{AD32C204-34DE-4F58-8135-06D587FECF25}"/>
    <hyperlink ref="M408" r:id="rId103" display="https://www.probas.umweltbundesamt.de/php/prozessdetails.php?id=%7b109B44FC-3E16-4528-82FF-641E040D47DB%7d" xr:uid="{9F2E3A39-5E15-4BF8-AAD5-6869BE40A1AF}"/>
    <hyperlink ref="M407" r:id="rId104" display="https://www.probas.umweltbundesamt.de/php/prozessdetails.php?id=%7bEDEF8A1D-535D-46AE-BEC5-2C900DC09C2C%7d" xr:uid="{2ABD0FE9-6634-42BA-A602-6811814EED30}"/>
    <hyperlink ref="M409" r:id="rId105" display="https://www.probas.umweltbundesamt.de/php/prozessdetails.php?id=%7b27CF6CA2-7DAF-44AE-899E-8FD686A8966C%7d" xr:uid="{14317817-401B-4F0D-B0A9-089DA7B73185}"/>
    <hyperlink ref="M411" r:id="rId106" display="https://www.probas.umweltbundesamt.de/php/prozessdetails.php?id=%7bA8276F10-4E60-45C4-A7BA-5803FDD637C7%7d" xr:uid="{C5F20F29-5F38-4D2D-9BBF-407ABFC42460}"/>
    <hyperlink ref="M412" r:id="rId107" display="https://www.probas.umweltbundesamt.de/php/prozessdetails.php?id=%7b2E9ADEB4-20B2-4E89-A0CF-728D62C82E93%7d" xr:uid="{CD44AF5B-B309-40C0-BCE2-44B6A1E768FB}"/>
    <hyperlink ref="M413" r:id="rId108" display="https://www.probas.umweltbundesamt.de/php/prozessdetails.php?id=%7b4F44E475-53C0-41BD-9F5A-0359EA513586%7d" xr:uid="{94F38346-ACB3-43C8-93E4-C1BB860AA3FE}"/>
    <hyperlink ref="M21" r:id="rId109" display="https://www.probas.umweltbundesamt.de/php/prozessdetails.php?id=%7b5940E429-2731-4FA6-81D1-9D745EDDC8B3%7d" xr:uid="{C53EAACB-FBCB-4F0C-AAC1-ED82578433F4}"/>
    <hyperlink ref="M410" r:id="rId110" display="https://www.probas.umweltbundesamt.de/php/prozessdetails.php?id=%7b7D803D25-E3D0-406C-8A4E-C883F6FEB851%7d" xr:uid="{4A4B998C-80CD-46BC-9349-53196FFB75BC}"/>
    <hyperlink ref="M438" r:id="rId111" display="https://www.probas.umweltbundesamt.de/php/prozessdetails.php?id=%7b25EB12F5-7A9B-425D-AC38-AAFE68C10831%7d" xr:uid="{BCB21190-A457-4000-AD5E-1501827237AB}"/>
    <hyperlink ref="M46" r:id="rId112" xr:uid="{02907602-6086-49AB-8B7E-B92EB2FE6066}"/>
    <hyperlink ref="M30:M35" r:id="rId113" display="Öko-APC-Vorhaben" xr:uid="{C63EB7C4-189D-4780-867F-B0CE414B28A9}"/>
    <hyperlink ref="M175" r:id="rId114" xr:uid="{92D137F7-1529-4B6E-974D-981BA23EA85D}"/>
    <hyperlink ref="M179" r:id="rId115" xr:uid="{3189DFE6-6C8C-450F-BCD8-7C639D7785C9}"/>
    <hyperlink ref="M178" r:id="rId116" xr:uid="{BF0E3BAC-3087-44AE-9187-27CC445ABDC5}"/>
    <hyperlink ref="M176" r:id="rId117" xr:uid="{8208061E-CF01-46A1-A57C-DEC53B179BB8}"/>
    <hyperlink ref="M180" r:id="rId118" xr:uid="{5B619E79-380A-49AB-B792-F40E11013248}"/>
    <hyperlink ref="M37" r:id="rId119" xr:uid="{BE12F7FE-0090-4B45-8511-250F2CC51EB3}"/>
    <hyperlink ref="M177" r:id="rId120" xr:uid="{AC45D2C8-E89E-449B-9ACB-218D0077B442}"/>
    <hyperlink ref="M160" r:id="rId121" xr:uid="{E3DE7C35-7978-4E90-AD4A-59B01C7E17D7}"/>
    <hyperlink ref="M157" r:id="rId122" xr:uid="{FD8B77C6-38A4-45DF-ABE6-B6048D6BF71A}"/>
    <hyperlink ref="M156" r:id="rId123" xr:uid="{2C3B141F-5E74-4A07-A55D-3600E6C7AD12}"/>
    <hyperlink ref="M158" r:id="rId124" xr:uid="{9D62D2DF-5F6C-4FE0-A341-D5EB4BBD32E3}"/>
    <hyperlink ref="M159" r:id="rId125" xr:uid="{0A5A90C8-690F-49DE-9A96-68D3D90F7FE0}"/>
    <hyperlink ref="M19" r:id="rId126" xr:uid="{ABFEAB56-C2B7-4905-BE6A-15D12FDEDAA2}"/>
    <hyperlink ref="M207" r:id="rId127" xr:uid="{CD5AA57C-A255-4B5E-B01C-D14C57CCF8B2}"/>
    <hyperlink ref="M108" r:id="rId128" xr:uid="{D6046FA2-A16D-4111-8593-244A8C84D0D6}"/>
    <hyperlink ref="M112" r:id="rId129" xr:uid="{7F0BA102-C7B4-4435-BE62-2DA781711505}"/>
    <hyperlink ref="M104" r:id="rId130" xr:uid="{E6AB8CE7-EFC4-4568-A724-92106D1A29B2}"/>
    <hyperlink ref="M109" r:id="rId131" xr:uid="{A5EA0947-3591-4ADF-9AA3-233C97C9FD9E}"/>
    <hyperlink ref="M113" r:id="rId132" xr:uid="{CAD08875-CC00-4E3B-9B51-DEC4FF3E15AC}"/>
    <hyperlink ref="M111" r:id="rId133" xr:uid="{68AA3B03-7468-4CBC-8C82-9F9E087DB60C}"/>
    <hyperlink ref="M105" r:id="rId134" xr:uid="{91FC6040-2CA8-492E-AFF0-2AD7E85A25CD}"/>
    <hyperlink ref="M115" r:id="rId135" xr:uid="{CCB5E521-A4DA-40F8-BB4D-A1B79FC89927}"/>
    <hyperlink ref="M110" r:id="rId136" xr:uid="{2A54F45D-C7CD-4069-977D-7EC8878C31B7}"/>
    <hyperlink ref="M107" r:id="rId137" xr:uid="{55779468-D829-415B-A490-213D91F0A265}"/>
    <hyperlink ref="M114" r:id="rId138" xr:uid="{E6597D40-6122-4BDD-AFC2-D6E3C8150609}"/>
    <hyperlink ref="M106" r:id="rId139" xr:uid="{000E9570-5B81-4D0C-9E1D-70BCEE19BF3A}"/>
    <hyperlink ref="M75" r:id="rId140" xr:uid="{DABCE184-AD74-43FF-907E-7A62BAE90233}"/>
    <hyperlink ref="M171" r:id="rId141" xr:uid="{392564C5-EC54-45C8-85B7-76CCC1F2FC67}"/>
    <hyperlink ref="M53" r:id="rId142" xr:uid="{B838E410-1F08-4673-9B49-CEA0AE843433}"/>
    <hyperlink ref="M418" r:id="rId143" xr:uid="{BE3A9B32-9980-43AC-8296-5605D1D416BD}"/>
    <hyperlink ref="M67" r:id="rId144" xr:uid="{0ABD6591-588E-4CE3-9E01-CB14D2F40DC7}"/>
    <hyperlink ref="M209" r:id="rId145" xr:uid="{84153235-7071-43DF-A25F-FE91EFE6902C}"/>
    <hyperlink ref="M84" r:id="rId146" xr:uid="{EFBE1433-FD6F-488E-BD5B-09CDF8A5E680}"/>
    <hyperlink ref="M190" r:id="rId147" xr:uid="{08257AA4-31BC-4E92-BCF9-FA9C7D3762F9}"/>
    <hyperlink ref="M202" r:id="rId148" xr:uid="{694F6319-B469-4D3B-BC61-D8F60B576558}"/>
    <hyperlink ref="M128" r:id="rId149" xr:uid="{B109BA95-8D42-49E0-AC2E-69D221D09706}"/>
    <hyperlink ref="M141" r:id="rId150" xr:uid="{B28AB9A1-FCA3-4F21-96BA-38B42D768E68}"/>
    <hyperlink ref="M136" r:id="rId151" xr:uid="{42D56481-F2FB-430A-B52A-48C17BC55A43}"/>
    <hyperlink ref="M198" r:id="rId152" xr:uid="{46782A61-AF33-45BF-839E-AB349F2E79BD}"/>
    <hyperlink ref="M41" r:id="rId153" xr:uid="{A8E948A4-6459-4C7E-8301-DFFF0A21CF25}"/>
    <hyperlink ref="M51" r:id="rId154" xr:uid="{6754297A-5F5F-41F7-B30B-9A2199B6E573}"/>
    <hyperlink ref="M430" r:id="rId155" xr:uid="{80757379-6515-4B85-9312-C99E63AADB64}"/>
    <hyperlink ref="M68" r:id="rId156" xr:uid="{A1764BC0-6559-4008-9333-A9BE0607C44B}"/>
    <hyperlink ref="M208" r:id="rId157" xr:uid="{9CE3F95D-E0FC-46B7-ADCF-17DC45977A41}"/>
    <hyperlink ref="M80" r:id="rId158" xr:uid="{5CE35257-D182-4609-BA5D-A923AF9A14C3}"/>
    <hyperlink ref="M93" r:id="rId159" xr:uid="{EDC83402-5353-4F00-AADD-360D6D4C6D1E}"/>
    <hyperlink ref="M98" r:id="rId160" xr:uid="{D0CC4CCA-CDFB-4EB7-813E-0FEBDBFABB2B}"/>
    <hyperlink ref="M134" r:id="rId161" xr:uid="{C2A5C7D8-FC14-46F2-B7A8-332B38984A58}"/>
    <hyperlink ref="M147" r:id="rId162" xr:uid="{01177CD1-3113-4F32-844D-6A419B0FFB3B}"/>
    <hyperlink ref="M124" r:id="rId163" xr:uid="{1FDAB29E-C493-4AF2-97C0-710DC7E7B697}"/>
    <hyperlink ref="M200" r:id="rId164" xr:uid="{ECA7AC0B-E66B-4D04-A9A9-BCEEC05BCB64}"/>
    <hyperlink ref="M38" r:id="rId165" xr:uid="{F3B986A7-D4D7-4F57-9121-AC88CC09C145}"/>
    <hyperlink ref="M52" r:id="rId166" xr:uid="{6B9EACED-8E8E-4535-A671-16C454342E38}"/>
    <hyperlink ref="M435" r:id="rId167" xr:uid="{386AA752-DA50-40DD-BBBC-4E3CFC95E5A4}"/>
    <hyperlink ref="M70" r:id="rId168" xr:uid="{64E7C83B-204D-4279-823C-295DF9AA8B7D}"/>
    <hyperlink ref="M88" r:id="rId169" xr:uid="{DE443984-5C85-4E42-8CF7-838DE4401C07}"/>
    <hyperlink ref="M81" r:id="rId170" xr:uid="{27096D77-9602-4040-9E70-D93BDFBAB473}"/>
    <hyperlink ref="M92" r:id="rId171" xr:uid="{679A205E-916D-489A-8820-C7B511EFE87F}"/>
    <hyperlink ref="M58" r:id="rId172" xr:uid="{9064DA6B-608C-4C39-9762-AC7F450E56FF}"/>
    <hyperlink ref="M122" r:id="rId173" xr:uid="{40E22DFB-6F8F-472C-8052-3C8DE0832369}"/>
    <hyperlink ref="M132" r:id="rId174" xr:uid="{99AD2656-412A-42B6-9DB2-6B3A04116E55}"/>
    <hyperlink ref="M142" r:id="rId175" xr:uid="{0B4F927D-DE07-4A24-AB41-493D6DDD3A21}"/>
    <hyperlink ref="M199" r:id="rId176" xr:uid="{9EAE31D0-543A-4036-A8D7-11B62B170844}"/>
    <hyperlink ref="M42" r:id="rId177" xr:uid="{7BC16C71-6445-4C4A-9142-361C65DB79E5}"/>
    <hyperlink ref="M163" r:id="rId178" xr:uid="{0AC129E0-4A6B-4213-8551-ABFD6B02240D}"/>
    <hyperlink ref="M295" r:id="rId179" xr:uid="{B9DE302B-3755-4314-AA49-05BF501EB211}"/>
    <hyperlink ref="M69" r:id="rId180" xr:uid="{3A337986-BA79-4733-8470-E801A655E5B0}"/>
    <hyperlink ref="M205" r:id="rId181" xr:uid="{ACCF9FBF-1302-4437-824E-5E67D8136C7D}"/>
    <hyperlink ref="M78" r:id="rId182" xr:uid="{784C45E2-4833-470D-8DE4-FBC374BF2405}"/>
    <hyperlink ref="M162" r:id="rId183" xr:uid="{54E02857-C3CB-4462-8AF6-8B7AC7F7CFCD}"/>
    <hyperlink ref="M211" r:id="rId184" xr:uid="{9A7C02BF-7105-413E-A6F3-FF5A71EB16E7}"/>
    <hyperlink ref="M140" r:id="rId185" xr:uid="{77F25D0B-10CB-4C52-BD81-0D73A1777811}"/>
    <hyperlink ref="M138" r:id="rId186" xr:uid="{5C5B3F41-DDBE-448D-8E1E-B0696FC3AEED}"/>
    <hyperlink ref="M148" r:id="rId187" xr:uid="{8DECD87C-9469-4526-B536-FA638343DF11}"/>
    <hyperlink ref="M195" r:id="rId188" xr:uid="{79BDA78D-4A24-4CAF-A5E4-39FDF5A63B99}"/>
    <hyperlink ref="M39" r:id="rId189" xr:uid="{8424EAF4-B0C3-45A8-A582-E6EDF03BCBED}"/>
    <hyperlink ref="M164" r:id="rId190" xr:uid="{8E028BA1-EE74-441F-9BD3-36705439F8AF}"/>
    <hyperlink ref="M100" r:id="rId191" xr:uid="{B59FD437-43A7-46D5-8AD6-01F6D1DE4D01}"/>
    <hyperlink ref="M71" r:id="rId192" xr:uid="{BE2FAF7F-2BA4-46BD-95E5-E3A62438D272}"/>
    <hyperlink ref="M86" r:id="rId193" xr:uid="{2399A75B-ED13-4F55-99EE-5F197DB2AA6E}"/>
    <hyperlink ref="M79" r:id="rId194" xr:uid="{C8A17B76-7964-487D-B00B-AD76A4AFE93D}"/>
    <hyperlink ref="M203" r:id="rId195" xr:uid="{D1955250-5C92-4187-9921-D6AA572BA42B}"/>
    <hyperlink ref="M154" r:id="rId196" xr:uid="{27B60EEE-5698-49F0-89E5-AD5BF81D6217}"/>
    <hyperlink ref="M146" r:id="rId197" xr:uid="{7AD054AB-F7CD-41A4-9D1B-A47E0D587FD3}"/>
    <hyperlink ref="M126" r:id="rId198" xr:uid="{9CDD7AC5-9B3D-4364-AF80-BAF90E2202AC}"/>
    <hyperlink ref="M417" r:id="rId199" xr:uid="{BFD08828-7B0C-4568-856A-F54E907F8480}"/>
    <hyperlink ref="M194" r:id="rId200" xr:uid="{CB713859-785E-4178-9C16-3A3537C980A7}"/>
    <hyperlink ref="M43" r:id="rId201" xr:uid="{FCA88117-72A0-41F1-A9F2-DDC07922E588}"/>
    <hyperlink ref="M165" r:id="rId202" xr:uid="{ECD3AF40-0DFC-4E16-85DB-773C3833F9C1}"/>
    <hyperlink ref="M192" r:id="rId203" xr:uid="{AF35B44E-E126-4195-A4F3-EC280155B651}"/>
    <hyperlink ref="M73" r:id="rId204" xr:uid="{2B4C9910-EDBF-4053-BB20-E50E2EBB4BEE}"/>
    <hyperlink ref="M197" r:id="rId205" xr:uid="{E11989C4-13E2-427D-8946-A125AD449C17}"/>
    <hyperlink ref="M117" r:id="rId206" xr:uid="{36B27C2F-8F1E-41AE-B11B-2A4B7C43980E}"/>
    <hyperlink ref="M99" r:id="rId207" xr:uid="{C75AEA10-D3E2-4B32-BA8C-1015260D919E}"/>
    <hyperlink ref="M90" r:id="rId208" xr:uid="{7D628075-6A7B-4D1F-A2DA-50E473B719D4}"/>
    <hyperlink ref="M131" r:id="rId209" xr:uid="{DAE6280A-A0B8-4E80-95A1-FC0DBAF8D553}"/>
    <hyperlink ref="M144" r:id="rId210" xr:uid="{7E6D6900-0104-4F2C-899A-30410E7B8BFD}"/>
    <hyperlink ref="M415" r:id="rId211" xr:uid="{B4CFBD38-8F8C-4A56-9C52-95DECBAC8A57}"/>
    <hyperlink ref="M170" r:id="rId212" xr:uid="{346B1A8E-1A10-4A6A-BBFA-D3FBBC18B2F1}"/>
    <hyperlink ref="M50" r:id="rId213" xr:uid="{FC02D64E-F765-42FD-BE80-B9471AFECB01}"/>
    <hyperlink ref="M85" r:id="rId214" xr:uid="{5ECF5195-D4A9-4D22-9F00-9B4EC202ED96}"/>
    <hyperlink ref="M72" r:id="rId215" xr:uid="{8FD5A93B-B8E8-4EC7-A9DB-AFE16C6CE60F}"/>
    <hyperlink ref="M153" r:id="rId216" xr:uid="{AF40860C-F836-4CD1-85A2-3519931FD4D3}"/>
    <hyperlink ref="M77" r:id="rId217" xr:uid="{E42634DC-3A30-4FEC-B9DB-070ABB3F5113}"/>
    <hyperlink ref="M94" r:id="rId218" xr:uid="{F29F020C-732A-4E1D-864D-5BA4D98B8C71}"/>
    <hyperlink ref="M91" r:id="rId219" xr:uid="{4BBDA47E-D45F-4A94-ACFE-F9D914147F1E}"/>
    <hyperlink ref="M119" r:id="rId220" xr:uid="{1A5D6F25-ABF4-4899-AF65-78B94EC74F76}"/>
    <hyperlink ref="M129" r:id="rId221" xr:uid="{2E3259FD-1F07-4BE9-BAE1-94B2920A2320}"/>
    <hyperlink ref="M139" r:id="rId222" xr:uid="{3A1645CF-6F9A-4B9E-8F3B-CCBCFA092124}"/>
    <hyperlink ref="M193" r:id="rId223" xr:uid="{F965BC00-9730-4ECE-82D3-BC0EE55C8D00}"/>
    <hyperlink ref="M40" r:id="rId224" xr:uid="{11C455CC-AE7A-49A7-A7B8-964C0523068C}"/>
    <hyperlink ref="M166" r:id="rId225" xr:uid="{0910606B-D71D-4CD4-AE07-76AFC0110E6C}"/>
    <hyperlink ref="M191" r:id="rId226" xr:uid="{4D27DA30-6167-4115-81A6-23BBDAEA307B}"/>
    <hyperlink ref="M182" r:id="rId227" xr:uid="{B574D5FC-1518-4C22-BE7B-D2F78A4D9BF7}"/>
    <hyperlink ref="M36" r:id="rId228" xr:uid="{0649177D-2AB7-46B6-A520-26E567C0A0FE}"/>
    <hyperlink ref="M118" r:id="rId229" xr:uid="{033D7263-142C-43A9-9487-D59F63C433C7}"/>
    <hyperlink ref="M59" r:id="rId230" xr:uid="{69DC0CCA-D8E3-4C51-85C1-130981AB3B2D}"/>
    <hyperlink ref="M102" r:id="rId231" xr:uid="{934DF070-11EC-4AEE-A225-5E34248AF184}"/>
    <hyperlink ref="M137" r:id="rId232" xr:uid="{23A13CAC-058F-4021-A915-B3741EA60ADD}"/>
    <hyperlink ref="M150" r:id="rId233" xr:uid="{3E16CCA9-CF24-4443-8AE5-C62338E3BFBF}"/>
    <hyperlink ref="M169" r:id="rId234" xr:uid="{66324383-257C-4737-9178-F74C7638DAD7}"/>
    <hyperlink ref="M48" r:id="rId235" xr:uid="{FD6861E6-7345-4AD9-8C91-E1E07BA19D7E}"/>
    <hyperlink ref="M101" r:id="rId236" xr:uid="{1742D080-0A21-4E14-8274-43037E4E724F}"/>
    <hyperlink ref="M65" r:id="rId237" xr:uid="{0453F6D5-1A44-4366-96A8-694312666FF3}"/>
    <hyperlink ref="M152" r:id="rId238" xr:uid="{E8C56114-64B9-4928-866E-DA327129401D}"/>
    <hyperlink ref="M82" r:id="rId239" xr:uid="{7D4A0726-CC11-40D6-BF61-FE460D1DC07D}"/>
    <hyperlink ref="M95" r:id="rId240" xr:uid="{7CBD284F-F5D3-4626-B361-34AC7BA99706}"/>
    <hyperlink ref="M161" r:id="rId241" xr:uid="{FCEF5998-7CF2-49EC-9CEE-9390C1ADA7F0}"/>
    <hyperlink ref="M210" r:id="rId242" xr:uid="{5FB6E963-E78B-410D-B0F8-F34AD98932A1}"/>
    <hyperlink ref="M135" r:id="rId243" xr:uid="{439EE0F0-595C-4108-93E9-210AA1001C6A}"/>
    <hyperlink ref="M145" r:id="rId244" xr:uid="{3302763E-5EC5-49A5-A2D3-0B421CA8B556}"/>
    <hyperlink ref="M62" r:id="rId245" xr:uid="{7C41EC8F-AE4F-4184-8039-4420841D76A8}"/>
    <hyperlink ref="M56" r:id="rId246" xr:uid="{4FB2D13F-0CB8-4FAC-81DD-28956E424AFE}"/>
    <hyperlink ref="M167" r:id="rId247" xr:uid="{3B5B0BD7-33FE-4F8A-AC45-AE77F382C1D1}"/>
    <hyperlink ref="M206" r:id="rId248" xr:uid="{406D07E7-D981-4CEE-996B-FD535A9534AC}"/>
    <hyperlink ref="M116" r:id="rId249" xr:uid="{37543DD0-6856-47E4-815C-7D969950A907}"/>
    <hyperlink ref="M213" r:id="rId250" xr:uid="{F0604084-1201-46AF-8BA5-6BE848F90F6F}"/>
    <hyperlink ref="M44" r:id="rId251" xr:uid="{31B41FEE-6149-4081-94BC-F269970E4A10}"/>
    <hyperlink ref="M212" r:id="rId252" xr:uid="{8AE352CF-5672-44EA-A52A-BBFA143B5C3C}"/>
    <hyperlink ref="M201" r:id="rId253" xr:uid="{5AE8C7E7-A657-443B-8B72-684EEAC7A45A}"/>
    <hyperlink ref="M125" r:id="rId254" xr:uid="{1380EB39-8215-4877-AAC5-E70D28297F06}"/>
    <hyperlink ref="M127" r:id="rId255" xr:uid="{A59EDA37-8F79-4AA9-90DC-41901231CAB7}"/>
    <hyperlink ref="M172" r:id="rId256" xr:uid="{B2E74AF6-2747-47C1-899D-0914A671AA15}"/>
    <hyperlink ref="M49" r:id="rId257" xr:uid="{B11B821C-AA01-44A6-9AD5-BC144F8E9522}"/>
    <hyperlink ref="M436" r:id="rId258" xr:uid="{E70CC7EC-E894-4DB5-BB4A-A54A99A08AFE}"/>
    <hyperlink ref="M66" r:id="rId259" xr:uid="{DB77D05E-825D-4D5A-BD8C-26E578FE350E}"/>
    <hyperlink ref="M87" r:id="rId260" xr:uid="{88BE3BBE-9C1C-4A5E-8069-C67B75C39DA3}"/>
    <hyperlink ref="M83" r:id="rId261" xr:uid="{DD23196C-61B7-4724-84AD-2470E10F39E8}"/>
    <hyperlink ref="M89" r:id="rId262" xr:uid="{52852E8F-712C-40F2-9BFE-81679497FD0D}"/>
    <hyperlink ref="M64" r:id="rId263" xr:uid="{877E5A40-D690-4AFA-8403-764D5AD0F751}"/>
    <hyperlink ref="M196" r:id="rId264" xr:uid="{9CACF71A-67F7-4E37-8BBD-F0E50612314C}"/>
    <hyperlink ref="M123" r:id="rId265" xr:uid="{36BA1A2B-730F-497E-98C9-E45122A3C540}"/>
    <hyperlink ref="M130" r:id="rId266" xr:uid="{F06230C3-9EA3-4313-AA5E-509FFA407A97}"/>
    <hyperlink ref="M61" r:id="rId267" xr:uid="{0E98691D-0544-472C-B2D2-EE108554EF2D}"/>
    <hyperlink ref="M54" r:id="rId268" xr:uid="{9D8744FC-81BD-414B-83D4-1C8A023A6B24}"/>
    <hyperlink ref="M168" r:id="rId269" xr:uid="{37C5B74F-3502-400E-BEB9-E7D84C2DAE3C}"/>
    <hyperlink ref="M181" r:id="rId270" xr:uid="{E669D6CA-D541-48EE-B622-9984F1A473C3}"/>
    <hyperlink ref="M120" r:id="rId271" xr:uid="{3556445A-88C9-4B24-BF17-8E5DE54D8B51}"/>
    <hyperlink ref="M103" r:id="rId272" xr:uid="{22E2552B-BDA2-4D9C-8B1E-BB7B4B755510}"/>
    <hyperlink ref="M173" r:id="rId273" xr:uid="{04D1BA3E-2188-4C8C-9A21-DBC558450B59}"/>
    <hyperlink ref="M45" r:id="rId274" xr:uid="{D0EA4A0F-299E-434A-B4ED-B7567701CE2F}"/>
    <hyperlink ref="M97" r:id="rId275" xr:uid="{6C344509-A5FF-43C9-8BD8-C505D6B82276}"/>
    <hyperlink ref="M143" r:id="rId276" xr:uid="{3E6C581A-4B72-450E-B032-7D4E38B92369}"/>
    <hyperlink ref="M133" r:id="rId277" xr:uid="{B1762A06-093D-4684-9CBF-D8EDA48B68BA}"/>
    <hyperlink ref="M60" r:id="rId278" xr:uid="{8BEC36F0-86BA-4322-8810-89DFCFA829F8}"/>
    <hyperlink ref="M55" r:id="rId279" xr:uid="{9ED7CF94-62E9-403F-9C6A-2667CD3474FE}"/>
    <hyperlink ref="M63" r:id="rId280" xr:uid="{33DF4769-C82F-4E8D-8666-A259FF33D413}"/>
    <hyperlink ref="M74" r:id="rId281" xr:uid="{031C1A08-856F-41B7-BF20-8662660FB0EF}"/>
    <hyperlink ref="M174" r:id="rId282" xr:uid="{F8928FA4-89A2-47FA-97FE-F3BEDE6499DA}"/>
    <hyperlink ref="M76" r:id="rId283" xr:uid="{0F1B2A2A-DF61-40DC-9BC9-24E0BE3FF0AA}"/>
    <hyperlink ref="M96" r:id="rId284" xr:uid="{3DDB3294-A16E-4AB9-A4F0-7BB91043D35E}"/>
    <hyperlink ref="M155" r:id="rId285" xr:uid="{DC13BA8E-7B32-4F6C-A1E0-CEA130E257A4}"/>
    <hyperlink ref="M57" r:id="rId286" xr:uid="{7E1DD167-E71A-4A4E-AF06-DCC20AA0215C}"/>
    <hyperlink ref="M149" r:id="rId287" xr:uid="{55C5DA91-C451-4B90-B3DA-856044B48C25}"/>
    <hyperlink ref="M121" r:id="rId288" xr:uid="{AA8BE56B-59B6-4399-B043-93EAF0551EE2}"/>
    <hyperlink ref="M365:M441" r:id="rId289" display="scope3transparent: Treibhausgasemissionen - Scope 3.1, Daten für die_x000a_Elektronikbranche und Einkäufer:innen von IT-Geräten, Version 1.0, März 2024" xr:uid="{BF6FA39C-3069-481C-9703-C0E8AF0854C2}"/>
    <hyperlink ref="P4" location="'Aufbau LCC-CO2-Tool'!A1" display="zurück zur Übersicht" xr:uid="{5FA1CC0A-6D71-442D-8C90-B7143527C599}"/>
    <hyperlink ref="P5" location="'Anleitung für Beschaffende'!A20" display="zurück zur Anleitung für Beschaffende " xr:uid="{B11D3487-9001-4882-8AA1-5CD9D17B22F3}"/>
    <hyperlink ref="P6" location="'Anleitung für Bietende'!A18" display="zurück zur Anleitung für Bietende" xr:uid="{54D60876-A2F9-4344-88A0-83407F74446A}"/>
  </hyperlinks>
  <pageMargins left="0.70866141732283472" right="0.70866141732283472" top="0.74803149606299213" bottom="0.74803149606299213" header="0.31496062992125984" footer="0.31496062992125984"/>
  <pageSetup paperSize="9" orientation="portrait" horizontalDpi="1200" verticalDpi="1200" r:id="rId290"/>
  <headerFooter>
    <oddHeader>&amp;C&amp;14&amp;KFF0000TESTVERSION!</oddHeader>
    <oddFooter>&amp;L&amp;8LCC-CO2-Tool - Arbeitshilfe des Umweltbundesamtes&amp;C&amp;8Emissionsfaktoren - Stoffe&amp;R&amp;8&amp;P</oddFooter>
  </headerFooter>
  <drawing r:id="rId291"/>
  <legacyDrawing r:id="rId292"/>
  <tableParts count="1">
    <tablePart r:id="rId293"/>
  </tablePart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5">
    <tabColor theme="0"/>
  </sheetPr>
  <dimension ref="A1:V203"/>
  <sheetViews>
    <sheetView showGridLines="0" zoomScale="90" zoomScaleNormal="90" workbookViewId="0">
      <pane ySplit="2" topLeftCell="A116" activePane="bottomLeft" state="frozen"/>
      <selection pane="bottomLeft"/>
    </sheetView>
  </sheetViews>
  <sheetFormatPr baseColWidth="10" defaultColWidth="8" defaultRowHeight="14.5"/>
  <cols>
    <col min="1" max="1" width="3.08203125" style="2" customWidth="1"/>
    <col min="2" max="2" width="2.58203125" style="2" customWidth="1"/>
    <col min="3" max="3" width="2.25" style="2" customWidth="1"/>
    <col min="4" max="4" width="30.5" style="2" bestFit="1" customWidth="1"/>
    <col min="5" max="5" width="20.25" style="2" customWidth="1"/>
    <col min="6" max="6" width="12.83203125" style="2" customWidth="1"/>
    <col min="7" max="7" width="10.25" style="2" customWidth="1"/>
    <col min="8" max="8" width="8.75" style="2" customWidth="1"/>
    <col min="9" max="9" width="8.33203125" style="2" customWidth="1"/>
    <col min="10" max="10" width="9.75" style="2" customWidth="1"/>
    <col min="11" max="11" width="8.33203125" style="2" customWidth="1"/>
    <col min="12" max="12" width="8.5" style="2" bestFit="1" customWidth="1"/>
    <col min="13" max="13" width="9.25" style="2" customWidth="1"/>
    <col min="14" max="14" width="12.75" style="5" customWidth="1"/>
    <col min="15" max="15" width="15.58203125" style="2" bestFit="1" customWidth="1"/>
    <col min="16" max="16" width="16.25" style="2" customWidth="1"/>
    <col min="17" max="17" width="11.25" style="2" customWidth="1"/>
    <col min="18" max="18" width="9.25" style="2" customWidth="1"/>
    <col min="19" max="19" width="18.25" style="2" customWidth="1"/>
    <col min="20" max="20" width="46.5" style="2" customWidth="1"/>
    <col min="21" max="16384" width="8" style="2"/>
  </cols>
  <sheetData>
    <row r="1" spans="1:22" ht="64.150000000000006" customHeight="1">
      <c r="D1" s="95" t="s">
        <v>1067</v>
      </c>
      <c r="E1" s="95"/>
      <c r="K1" s="2" t="s">
        <v>1068</v>
      </c>
      <c r="L1" s="2" t="s">
        <v>1068</v>
      </c>
      <c r="M1" s="2" t="s">
        <v>1068</v>
      </c>
    </row>
    <row r="2" spans="1:22">
      <c r="D2" s="842" t="s">
        <v>1791</v>
      </c>
      <c r="E2" s="842" t="s">
        <v>1796</v>
      </c>
      <c r="F2" s="361" t="s">
        <v>416</v>
      </c>
      <c r="G2" s="361" t="s">
        <v>1069</v>
      </c>
      <c r="H2" s="361" t="s">
        <v>228</v>
      </c>
      <c r="I2" s="361" t="s">
        <v>1070</v>
      </c>
      <c r="J2" s="361" t="s">
        <v>415</v>
      </c>
      <c r="K2" s="361" t="s">
        <v>1071</v>
      </c>
      <c r="L2" s="361" t="s">
        <v>1072</v>
      </c>
      <c r="M2" s="361" t="s">
        <v>411</v>
      </c>
      <c r="N2" s="361" t="s">
        <v>362</v>
      </c>
      <c r="O2" s="361" t="s">
        <v>1073</v>
      </c>
      <c r="P2" s="361" t="s">
        <v>1074</v>
      </c>
      <c r="Q2" s="361" t="s">
        <v>1075</v>
      </c>
      <c r="R2" s="361" t="s">
        <v>1076</v>
      </c>
      <c r="S2" s="361" t="s">
        <v>229</v>
      </c>
      <c r="T2" s="361" t="s">
        <v>417</v>
      </c>
    </row>
    <row r="3" spans="1:22" hidden="1">
      <c r="A3" s="1019" t="s">
        <v>1077</v>
      </c>
      <c r="B3" s="1020" t="s">
        <v>1078</v>
      </c>
      <c r="D3" s="361" t="s">
        <v>128</v>
      </c>
      <c r="E3" s="361" t="s">
        <v>128</v>
      </c>
      <c r="F3" s="361"/>
      <c r="G3" s="361"/>
      <c r="H3" s="361"/>
      <c r="I3" s="361"/>
      <c r="J3" s="361"/>
      <c r="K3" s="361"/>
      <c r="L3" s="361"/>
      <c r="M3" s="361"/>
      <c r="N3" s="361"/>
      <c r="O3" s="361"/>
      <c r="P3" s="361"/>
      <c r="Q3" s="361"/>
      <c r="R3" s="361"/>
      <c r="S3" s="361"/>
      <c r="T3" s="361"/>
    </row>
    <row r="4" spans="1:22" ht="14.65" customHeight="1">
      <c r="A4" s="1019"/>
      <c r="B4" s="1020"/>
      <c r="D4" s="361" t="s">
        <v>210</v>
      </c>
      <c r="E4" s="361" t="s">
        <v>210</v>
      </c>
      <c r="F4" s="361" t="s">
        <v>853</v>
      </c>
      <c r="G4" s="546">
        <v>8.9746961111111112</v>
      </c>
      <c r="H4" s="361" t="s">
        <v>1079</v>
      </c>
      <c r="I4" s="546">
        <v>0.74</v>
      </c>
      <c r="J4" s="361" t="s">
        <v>1080</v>
      </c>
      <c r="K4" s="361"/>
      <c r="L4" s="361"/>
      <c r="M4" s="361"/>
      <c r="N4" s="546">
        <v>2.9486355411354634</v>
      </c>
      <c r="O4" s="361" t="s">
        <v>1081</v>
      </c>
      <c r="P4" s="361"/>
      <c r="Q4" s="361"/>
      <c r="R4" s="361"/>
      <c r="S4" s="361" t="s">
        <v>1082</v>
      </c>
      <c r="T4" s="361"/>
    </row>
    <row r="5" spans="1:22" ht="16.5">
      <c r="A5" s="1019"/>
      <c r="B5" s="1020"/>
      <c r="D5" s="842" t="s">
        <v>195</v>
      </c>
      <c r="E5" s="842" t="s">
        <v>195</v>
      </c>
      <c r="F5" s="361" t="s">
        <v>241</v>
      </c>
      <c r="G5" s="546">
        <v>11.26</v>
      </c>
      <c r="H5" s="361" t="s">
        <v>1083</v>
      </c>
      <c r="I5" s="546">
        <v>0.74</v>
      </c>
      <c r="J5" s="361" t="s">
        <v>1080</v>
      </c>
      <c r="K5" s="361"/>
      <c r="L5" s="361"/>
      <c r="M5" s="361"/>
      <c r="N5" s="546">
        <v>0.27</v>
      </c>
      <c r="O5" s="361" t="s">
        <v>1084</v>
      </c>
      <c r="P5" s="361"/>
      <c r="Q5" s="361"/>
      <c r="R5" s="361"/>
      <c r="S5" s="361" t="s">
        <v>1085</v>
      </c>
      <c r="T5" s="842" t="s">
        <v>1789</v>
      </c>
      <c r="V5" s="996" t="s">
        <v>1886</v>
      </c>
    </row>
    <row r="6" spans="1:22" ht="16.5">
      <c r="A6" s="1019"/>
      <c r="B6" s="1020"/>
      <c r="D6" s="361" t="s">
        <v>1086</v>
      </c>
      <c r="E6" s="361" t="s">
        <v>1086</v>
      </c>
      <c r="F6" s="361" t="s">
        <v>853</v>
      </c>
      <c r="G6" s="546">
        <v>9.9285333333333323</v>
      </c>
      <c r="H6" s="361" t="s">
        <v>1079</v>
      </c>
      <c r="I6" s="546"/>
      <c r="J6" s="361"/>
      <c r="K6" s="361"/>
      <c r="L6" s="361"/>
      <c r="M6" s="361"/>
      <c r="N6" s="546">
        <v>3.4673963593606745</v>
      </c>
      <c r="O6" s="361" t="s">
        <v>1081</v>
      </c>
      <c r="P6" s="361"/>
      <c r="Q6" s="361"/>
      <c r="R6" s="361"/>
      <c r="S6" s="361" t="s">
        <v>1082</v>
      </c>
      <c r="T6" s="361" t="s">
        <v>1087</v>
      </c>
      <c r="V6" s="996" t="s">
        <v>1887</v>
      </c>
    </row>
    <row r="7" spans="1:22" ht="16.5">
      <c r="A7" s="1019"/>
      <c r="B7" s="1020"/>
      <c r="D7" s="361" t="s">
        <v>1088</v>
      </c>
      <c r="E7" s="361" t="s">
        <v>1088</v>
      </c>
      <c r="F7" s="361" t="s">
        <v>1089</v>
      </c>
      <c r="G7" s="546">
        <v>11933.333333333334</v>
      </c>
      <c r="H7" s="361" t="s">
        <v>1090</v>
      </c>
      <c r="I7" s="546">
        <v>0.83199999999999996</v>
      </c>
      <c r="J7" s="361" t="s">
        <v>1080</v>
      </c>
      <c r="K7" s="361"/>
      <c r="L7" s="361"/>
      <c r="M7" s="361"/>
      <c r="N7" s="546">
        <v>4167.5437011546564</v>
      </c>
      <c r="O7" s="361" t="s">
        <v>1091</v>
      </c>
      <c r="P7" s="361"/>
      <c r="Q7" s="361"/>
      <c r="R7" s="361"/>
      <c r="S7" s="361" t="s">
        <v>1082</v>
      </c>
      <c r="T7" s="361"/>
      <c r="V7" s="996" t="s">
        <v>1888</v>
      </c>
    </row>
    <row r="8" spans="1:22" ht="16.5">
      <c r="A8" s="1019"/>
      <c r="B8" s="1020"/>
      <c r="D8" s="361" t="s">
        <v>199</v>
      </c>
      <c r="E8" s="361" t="s">
        <v>199</v>
      </c>
      <c r="F8" s="361" t="s">
        <v>241</v>
      </c>
      <c r="G8" s="546">
        <v>10.3</v>
      </c>
      <c r="H8" s="361" t="s">
        <v>1083</v>
      </c>
      <c r="I8" s="546">
        <v>0.88300000000000001</v>
      </c>
      <c r="J8" s="361" t="s">
        <v>1080</v>
      </c>
      <c r="K8" s="361"/>
      <c r="L8" s="361"/>
      <c r="M8" s="361"/>
      <c r="N8" s="546">
        <v>0.16600000000000001</v>
      </c>
      <c r="O8" s="361" t="s">
        <v>1084</v>
      </c>
      <c r="P8" s="361"/>
      <c r="Q8" s="361"/>
      <c r="R8" s="361"/>
      <c r="S8" s="361" t="s">
        <v>1085</v>
      </c>
      <c r="T8" s="361"/>
    </row>
    <row r="9" spans="1:22" ht="16.5">
      <c r="A9" s="1019"/>
      <c r="B9" s="1020"/>
      <c r="D9" s="361" t="s">
        <v>216</v>
      </c>
      <c r="E9" s="361" t="s">
        <v>216</v>
      </c>
      <c r="F9" s="361" t="s">
        <v>853</v>
      </c>
      <c r="G9" s="546">
        <v>10.3</v>
      </c>
      <c r="H9" s="361" t="s">
        <v>1083</v>
      </c>
      <c r="I9" s="546">
        <v>0.88300000000000001</v>
      </c>
      <c r="J9" s="361" t="s">
        <v>1080</v>
      </c>
      <c r="K9" s="361"/>
      <c r="L9" s="361"/>
      <c r="M9" s="361"/>
      <c r="N9" s="546">
        <v>1.5097534000000001</v>
      </c>
      <c r="O9" s="361" t="s">
        <v>1081</v>
      </c>
      <c r="P9" s="361"/>
      <c r="Q9" s="361"/>
      <c r="R9" s="361"/>
      <c r="S9" s="361" t="s">
        <v>1085</v>
      </c>
      <c r="T9" s="361"/>
    </row>
    <row r="10" spans="1:22" ht="16.5">
      <c r="A10" s="1019"/>
      <c r="B10" s="1020"/>
      <c r="D10" s="361" t="s">
        <v>200</v>
      </c>
      <c r="E10" s="361" t="s">
        <v>200</v>
      </c>
      <c r="F10" s="361" t="s">
        <v>241</v>
      </c>
      <c r="G10" s="546">
        <v>7.77</v>
      </c>
      <c r="H10" s="361" t="s">
        <v>1083</v>
      </c>
      <c r="I10" s="546">
        <v>0.79400000000000004</v>
      </c>
      <c r="J10" s="361" t="s">
        <v>1080</v>
      </c>
      <c r="K10" s="361"/>
      <c r="L10" s="361"/>
      <c r="M10" s="361"/>
      <c r="N10" s="546">
        <v>0.20799999999999999</v>
      </c>
      <c r="O10" s="361" t="s">
        <v>1084</v>
      </c>
      <c r="P10" s="361"/>
      <c r="Q10" s="361"/>
      <c r="R10" s="361"/>
      <c r="S10" s="361" t="s">
        <v>1085</v>
      </c>
      <c r="T10" s="361"/>
    </row>
    <row r="11" spans="1:22" ht="16.5">
      <c r="A11" s="1019"/>
      <c r="B11" s="1020"/>
      <c r="D11" s="361" t="s">
        <v>218</v>
      </c>
      <c r="E11" s="361" t="s">
        <v>218</v>
      </c>
      <c r="F11" s="361" t="s">
        <v>853</v>
      </c>
      <c r="G11" s="546">
        <v>7.77</v>
      </c>
      <c r="H11" s="361" t="s">
        <v>1083</v>
      </c>
      <c r="I11" s="546">
        <v>0.79400000000000004</v>
      </c>
      <c r="J11" s="361" t="s">
        <v>1080</v>
      </c>
      <c r="K11" s="361"/>
      <c r="L11" s="361"/>
      <c r="M11" s="361"/>
      <c r="N11" s="546">
        <v>1.28323104</v>
      </c>
      <c r="O11" s="361" t="s">
        <v>1081</v>
      </c>
      <c r="P11" s="361"/>
      <c r="Q11" s="361"/>
      <c r="R11" s="361"/>
      <c r="S11" s="361" t="s">
        <v>1085</v>
      </c>
      <c r="T11" s="361"/>
    </row>
    <row r="12" spans="1:22" ht="16.5">
      <c r="A12" s="1019"/>
      <c r="B12" s="1020"/>
      <c r="D12" s="361" t="s">
        <v>208</v>
      </c>
      <c r="E12" s="361" t="s">
        <v>208</v>
      </c>
      <c r="F12" s="361" t="s">
        <v>853</v>
      </c>
      <c r="G12" s="546">
        <v>9.8564266666666676</v>
      </c>
      <c r="H12" s="361" t="s">
        <v>1079</v>
      </c>
      <c r="I12" s="546">
        <v>0.83</v>
      </c>
      <c r="J12" s="361" t="s">
        <v>1080</v>
      </c>
      <c r="K12" s="361"/>
      <c r="L12" s="361"/>
      <c r="M12" s="361"/>
      <c r="N12" s="546">
        <v>3.3321231694545759</v>
      </c>
      <c r="O12" s="361" t="s">
        <v>1081</v>
      </c>
      <c r="P12" s="361"/>
      <c r="Q12" s="361"/>
      <c r="R12" s="361"/>
      <c r="S12" s="361" t="s">
        <v>1082</v>
      </c>
      <c r="T12" s="361"/>
    </row>
    <row r="13" spans="1:22" ht="16.5">
      <c r="A13" s="1019"/>
      <c r="B13" s="1020"/>
      <c r="D13" s="842" t="s">
        <v>194</v>
      </c>
      <c r="E13" s="842" t="s">
        <v>194</v>
      </c>
      <c r="F13" s="361" t="s">
        <v>241</v>
      </c>
      <c r="G13" s="546">
        <v>11.65</v>
      </c>
      <c r="H13" s="361" t="s">
        <v>1083</v>
      </c>
      <c r="I13" s="546">
        <v>0.83</v>
      </c>
      <c r="J13" s="361" t="s">
        <v>1080</v>
      </c>
      <c r="K13" s="361"/>
      <c r="L13" s="361"/>
      <c r="M13" s="361"/>
      <c r="N13" s="546">
        <v>0.318</v>
      </c>
      <c r="O13" s="361" t="s">
        <v>1084</v>
      </c>
      <c r="P13" s="361"/>
      <c r="Q13" s="361"/>
      <c r="R13" s="361"/>
      <c r="S13" s="361" t="s">
        <v>1085</v>
      </c>
      <c r="T13" s="842" t="s">
        <v>1789</v>
      </c>
    </row>
    <row r="14" spans="1:22" ht="16.5">
      <c r="A14" s="1019"/>
      <c r="B14" s="1020"/>
      <c r="D14" s="361" t="s">
        <v>1092</v>
      </c>
      <c r="E14" s="361" t="s">
        <v>1092</v>
      </c>
      <c r="F14" s="361" t="s">
        <v>247</v>
      </c>
      <c r="G14" s="546">
        <v>12.916666666666666</v>
      </c>
      <c r="H14" s="361" t="s">
        <v>1083</v>
      </c>
      <c r="I14" s="546">
        <v>0.73</v>
      </c>
      <c r="J14" s="361" t="s">
        <v>1093</v>
      </c>
      <c r="K14" s="361"/>
      <c r="L14" s="361"/>
      <c r="M14" s="361"/>
      <c r="N14" s="546">
        <v>2.1442908085009669</v>
      </c>
      <c r="O14" s="361" t="s">
        <v>1094</v>
      </c>
      <c r="P14" s="361"/>
      <c r="Q14" s="361"/>
      <c r="R14" s="361"/>
      <c r="S14" s="361" t="s">
        <v>1082</v>
      </c>
      <c r="T14" s="361" t="s">
        <v>1095</v>
      </c>
    </row>
    <row r="15" spans="1:22" ht="16.5">
      <c r="A15" s="1019"/>
      <c r="B15" s="1020"/>
      <c r="D15" s="361" t="s">
        <v>204</v>
      </c>
      <c r="E15" s="361" t="s">
        <v>204</v>
      </c>
      <c r="F15" s="361" t="s">
        <v>853</v>
      </c>
      <c r="G15" s="546"/>
      <c r="H15" s="361"/>
      <c r="I15" s="546">
        <v>0.51020408163265307</v>
      </c>
      <c r="J15" s="361" t="s">
        <v>1080</v>
      </c>
      <c r="K15" s="361"/>
      <c r="L15" s="361"/>
      <c r="M15" s="361"/>
      <c r="N15" s="546">
        <v>1.094025922704575</v>
      </c>
      <c r="O15" s="548" t="s">
        <v>1081</v>
      </c>
      <c r="P15" s="361"/>
      <c r="Q15" s="361"/>
      <c r="R15" s="361"/>
      <c r="S15" s="361" t="s">
        <v>1082</v>
      </c>
      <c r="T15" s="361" t="s">
        <v>1095</v>
      </c>
    </row>
    <row r="16" spans="1:22" ht="16.5">
      <c r="A16" s="1019"/>
      <c r="B16" s="1020"/>
      <c r="D16" s="361" t="s">
        <v>1096</v>
      </c>
      <c r="E16" s="361" t="s">
        <v>1096</v>
      </c>
      <c r="F16" s="361" t="s">
        <v>853</v>
      </c>
      <c r="G16" s="546">
        <v>8.8545333333333343</v>
      </c>
      <c r="H16" s="361" t="s">
        <v>1079</v>
      </c>
      <c r="I16" s="361"/>
      <c r="J16" s="361"/>
      <c r="K16" s="361"/>
      <c r="L16" s="361"/>
      <c r="M16" s="361"/>
      <c r="N16" s="546">
        <v>2.8078253510098983</v>
      </c>
      <c r="O16" s="548" t="s">
        <v>1081</v>
      </c>
      <c r="P16" s="361"/>
      <c r="Q16" s="361"/>
      <c r="R16" s="361"/>
      <c r="S16" s="361" t="s">
        <v>1082</v>
      </c>
      <c r="T16" s="361"/>
    </row>
    <row r="17" spans="1:20" ht="16.5">
      <c r="A17" s="1019"/>
      <c r="B17" s="1020"/>
      <c r="D17" s="361" t="s">
        <v>1097</v>
      </c>
      <c r="E17" s="361" t="s">
        <v>1097</v>
      </c>
      <c r="F17" s="361" t="s">
        <v>1089</v>
      </c>
      <c r="G17" s="546">
        <v>12091.666666666666</v>
      </c>
      <c r="H17" s="361" t="s">
        <v>1090</v>
      </c>
      <c r="I17" s="546">
        <v>0.74199999999999999</v>
      </c>
      <c r="J17" s="361" t="s">
        <v>1080</v>
      </c>
      <c r="K17" s="361"/>
      <c r="L17" s="361"/>
      <c r="M17" s="361"/>
      <c r="N17" s="546">
        <v>3784.1312008219656</v>
      </c>
      <c r="O17" s="548" t="s">
        <v>1091</v>
      </c>
      <c r="P17" s="361"/>
      <c r="Q17" s="361"/>
      <c r="R17" s="361"/>
      <c r="S17" s="361" t="s">
        <v>1082</v>
      </c>
      <c r="T17" s="361"/>
    </row>
    <row r="18" spans="1:20" ht="16.5">
      <c r="A18" s="1019"/>
      <c r="B18" s="1020"/>
      <c r="D18" s="361" t="s">
        <v>206</v>
      </c>
      <c r="E18" s="361" t="s">
        <v>206</v>
      </c>
      <c r="F18" s="361" t="s">
        <v>853</v>
      </c>
      <c r="G18" s="546">
        <v>7.7663333333333391</v>
      </c>
      <c r="H18" s="361" t="s">
        <v>1079</v>
      </c>
      <c r="I18" s="546">
        <v>0.6</v>
      </c>
      <c r="J18" s="361" t="s">
        <v>1080</v>
      </c>
      <c r="K18" s="361"/>
      <c r="L18" s="361"/>
      <c r="M18" s="361"/>
      <c r="N18" s="546">
        <v>2.2545905751521955</v>
      </c>
      <c r="O18" s="548" t="s">
        <v>1081</v>
      </c>
      <c r="P18" s="361"/>
      <c r="Q18" s="361"/>
      <c r="R18" s="361"/>
      <c r="S18" s="361" t="s">
        <v>1082</v>
      </c>
      <c r="T18" s="361"/>
    </row>
    <row r="19" spans="1:20" ht="16.5">
      <c r="A19" s="1019"/>
      <c r="B19" s="1020"/>
      <c r="D19" s="361" t="s">
        <v>198</v>
      </c>
      <c r="E19" s="361" t="s">
        <v>198</v>
      </c>
      <c r="F19" s="361" t="s">
        <v>241</v>
      </c>
      <c r="G19" s="546">
        <v>3.94</v>
      </c>
      <c r="H19" s="361" t="s">
        <v>1083</v>
      </c>
      <c r="I19" s="546" t="s">
        <v>126</v>
      </c>
      <c r="J19" s="361" t="s">
        <v>126</v>
      </c>
      <c r="K19" s="361"/>
      <c r="L19" s="361"/>
      <c r="M19" s="361"/>
      <c r="N19" s="546">
        <v>2.3E-2</v>
      </c>
      <c r="O19" s="548" t="s">
        <v>1084</v>
      </c>
      <c r="P19" s="361"/>
      <c r="Q19" s="361"/>
      <c r="R19" s="361"/>
      <c r="S19" s="361" t="s">
        <v>1085</v>
      </c>
      <c r="T19" s="361"/>
    </row>
    <row r="20" spans="1:20" ht="16.5">
      <c r="A20" s="1019"/>
      <c r="B20" s="1020"/>
      <c r="D20" s="361" t="s">
        <v>214</v>
      </c>
      <c r="E20" s="361" t="s">
        <v>214</v>
      </c>
      <c r="F20" s="361" t="s">
        <v>247</v>
      </c>
      <c r="G20" s="546">
        <v>3.94</v>
      </c>
      <c r="H20" s="361" t="s">
        <v>1083</v>
      </c>
      <c r="I20" s="546">
        <v>1</v>
      </c>
      <c r="J20" s="361" t="s">
        <v>126</v>
      </c>
      <c r="K20" s="361"/>
      <c r="L20" s="361"/>
      <c r="M20" s="361"/>
      <c r="N20" s="546">
        <v>9.0619999999999992E-2</v>
      </c>
      <c r="O20" s="548" t="s">
        <v>1094</v>
      </c>
      <c r="P20" s="361"/>
      <c r="Q20" s="361"/>
      <c r="R20" s="361"/>
      <c r="S20" s="361" t="s">
        <v>1085</v>
      </c>
      <c r="T20" s="361"/>
    </row>
    <row r="21" spans="1:20" ht="16.5">
      <c r="A21" s="1019"/>
      <c r="B21" s="1020"/>
      <c r="D21" s="361" t="s">
        <v>1098</v>
      </c>
      <c r="E21" s="361" t="s">
        <v>1098</v>
      </c>
      <c r="F21" s="361" t="s">
        <v>1089</v>
      </c>
      <c r="G21" s="546">
        <v>11888.888888888887</v>
      </c>
      <c r="H21" s="361" t="s">
        <v>1090</v>
      </c>
      <c r="I21" s="546">
        <v>0.8</v>
      </c>
      <c r="J21" s="361" t="s">
        <v>1080</v>
      </c>
      <c r="K21" s="361"/>
      <c r="L21" s="361"/>
      <c r="M21" s="361"/>
      <c r="N21" s="546">
        <v>3833.1917003120334</v>
      </c>
      <c r="O21" s="548" t="s">
        <v>1091</v>
      </c>
      <c r="P21" s="361"/>
      <c r="Q21" s="361"/>
      <c r="R21" s="361"/>
      <c r="S21" s="361" t="s">
        <v>1082</v>
      </c>
      <c r="T21" s="361"/>
    </row>
    <row r="22" spans="1:20" ht="16.5">
      <c r="A22" s="1019"/>
      <c r="B22" s="1020"/>
      <c r="D22" s="361" t="s">
        <v>1099</v>
      </c>
      <c r="E22" s="361" t="s">
        <v>1099</v>
      </c>
      <c r="F22" s="361" t="s">
        <v>853</v>
      </c>
      <c r="G22" s="546">
        <v>9.5111111111111111</v>
      </c>
      <c r="H22" s="361" t="s">
        <v>1079</v>
      </c>
      <c r="I22" s="546"/>
      <c r="J22" s="361"/>
      <c r="K22" s="361"/>
      <c r="L22" s="361"/>
      <c r="M22" s="361"/>
      <c r="N22" s="546">
        <v>3.0665533602496264</v>
      </c>
      <c r="O22" s="548" t="s">
        <v>1081</v>
      </c>
      <c r="P22" s="361"/>
      <c r="Q22" s="361"/>
      <c r="R22" s="361"/>
      <c r="S22" s="361" t="s">
        <v>1082</v>
      </c>
      <c r="T22" s="361"/>
    </row>
    <row r="23" spans="1:20" ht="16.5">
      <c r="A23" s="1019"/>
      <c r="B23" s="1020"/>
      <c r="D23" s="361" t="s">
        <v>1100</v>
      </c>
      <c r="E23" s="361" t="s">
        <v>1100</v>
      </c>
      <c r="F23" s="361" t="s">
        <v>1089</v>
      </c>
      <c r="G23" s="546">
        <v>11933.333333333334</v>
      </c>
      <c r="H23" s="361" t="s">
        <v>1090</v>
      </c>
      <c r="I23" s="546">
        <v>0.83199999999999996</v>
      </c>
      <c r="J23" s="361" t="s">
        <v>1080</v>
      </c>
      <c r="K23" s="361"/>
      <c r="L23" s="361"/>
      <c r="M23" s="361"/>
      <c r="N23" s="546">
        <v>4167.5437011546574</v>
      </c>
      <c r="O23" s="548" t="s">
        <v>1091</v>
      </c>
      <c r="P23" s="361"/>
      <c r="Q23" s="361"/>
      <c r="R23" s="361"/>
      <c r="S23" s="361" t="s">
        <v>1082</v>
      </c>
      <c r="T23" s="361"/>
    </row>
    <row r="24" spans="1:20" ht="16.5">
      <c r="A24" s="1019"/>
      <c r="B24" s="1020"/>
      <c r="D24" s="361" t="s">
        <v>1101</v>
      </c>
      <c r="E24" s="361" t="s">
        <v>1101</v>
      </c>
      <c r="F24" s="361" t="s">
        <v>853</v>
      </c>
      <c r="G24" s="546">
        <v>9.8564266666666693</v>
      </c>
      <c r="H24" s="361" t="s">
        <v>1079</v>
      </c>
      <c r="I24" s="546"/>
      <c r="J24" s="361"/>
      <c r="K24" s="361"/>
      <c r="L24" s="361"/>
      <c r="M24" s="361"/>
      <c r="N24" s="546">
        <v>3.3321231694545759</v>
      </c>
      <c r="O24" s="548" t="s">
        <v>1081</v>
      </c>
      <c r="P24" s="361"/>
      <c r="Q24" s="361"/>
      <c r="R24" s="361"/>
      <c r="S24" s="361" t="s">
        <v>1082</v>
      </c>
      <c r="T24" s="361" t="s">
        <v>1102</v>
      </c>
    </row>
    <row r="25" spans="1:20" ht="16.5">
      <c r="A25" s="1019"/>
      <c r="B25" s="1020"/>
      <c r="D25" s="361" t="s">
        <v>1103</v>
      </c>
      <c r="E25" s="361" t="s">
        <v>1103</v>
      </c>
      <c r="F25" s="361" t="s">
        <v>1089</v>
      </c>
      <c r="G25" s="546">
        <v>11933.333333333334</v>
      </c>
      <c r="H25" s="361" t="s">
        <v>1090</v>
      </c>
      <c r="I25" s="546">
        <v>0.86499999999999999</v>
      </c>
      <c r="J25" s="361" t="s">
        <v>1080</v>
      </c>
      <c r="K25" s="361"/>
      <c r="L25" s="361"/>
      <c r="M25" s="361"/>
      <c r="N25" s="546">
        <v>4008.5507044632077</v>
      </c>
      <c r="O25" s="548" t="s">
        <v>1091</v>
      </c>
      <c r="P25" s="361"/>
      <c r="Q25" s="361"/>
      <c r="R25" s="361"/>
      <c r="S25" s="361" t="s">
        <v>1082</v>
      </c>
      <c r="T25" s="361"/>
    </row>
    <row r="26" spans="1:20" ht="16.5">
      <c r="A26" s="1019"/>
      <c r="B26" s="1020"/>
      <c r="D26" s="361" t="s">
        <v>1104</v>
      </c>
      <c r="E26" s="361" t="s">
        <v>1104</v>
      </c>
      <c r="F26" s="361" t="s">
        <v>247</v>
      </c>
      <c r="G26" s="546">
        <v>33</v>
      </c>
      <c r="H26" s="361" t="s">
        <v>1083</v>
      </c>
      <c r="I26" s="546"/>
      <c r="J26" s="361"/>
      <c r="K26" s="361"/>
      <c r="L26" s="361"/>
      <c r="M26" s="361"/>
      <c r="N26" s="546">
        <v>12.3</v>
      </c>
      <c r="O26" s="548" t="s">
        <v>1094</v>
      </c>
      <c r="P26" s="361"/>
      <c r="Q26" s="361"/>
      <c r="R26" s="361"/>
      <c r="S26" s="361" t="s">
        <v>1082</v>
      </c>
      <c r="T26" s="361"/>
    </row>
    <row r="27" spans="1:20" ht="16.5">
      <c r="A27" s="1019"/>
      <c r="B27" s="1020"/>
      <c r="D27" s="361" t="s">
        <v>1105</v>
      </c>
      <c r="E27" s="361" t="s">
        <v>1105</v>
      </c>
      <c r="F27" s="361" t="s">
        <v>247</v>
      </c>
      <c r="G27" s="546">
        <v>33</v>
      </c>
      <c r="H27" s="361" t="s">
        <v>1083</v>
      </c>
      <c r="I27" s="546"/>
      <c r="J27" s="361"/>
      <c r="K27" s="361"/>
      <c r="L27" s="361"/>
      <c r="M27" s="361"/>
      <c r="N27" s="546">
        <v>1.5</v>
      </c>
      <c r="O27" s="548" t="s">
        <v>1094</v>
      </c>
      <c r="P27" s="361"/>
      <c r="Q27" s="361"/>
      <c r="R27" s="361"/>
      <c r="S27" s="361" t="s">
        <v>1082</v>
      </c>
      <c r="T27" s="361"/>
    </row>
    <row r="28" spans="1:20" ht="16.5">
      <c r="A28" s="1019"/>
      <c r="B28" s="1020"/>
      <c r="D28" s="361" t="s">
        <v>1106</v>
      </c>
      <c r="E28" s="361" t="s">
        <v>1106</v>
      </c>
      <c r="F28" s="361" t="s">
        <v>247</v>
      </c>
      <c r="G28" s="546">
        <v>33</v>
      </c>
      <c r="H28" s="361" t="s">
        <v>1083</v>
      </c>
      <c r="I28" s="546"/>
      <c r="J28" s="361"/>
      <c r="K28" s="361"/>
      <c r="L28" s="361"/>
      <c r="M28" s="361"/>
      <c r="N28" s="546">
        <v>11.5</v>
      </c>
      <c r="O28" s="548" t="s">
        <v>1094</v>
      </c>
      <c r="P28" s="361"/>
      <c r="Q28" s="361"/>
      <c r="R28" s="361"/>
      <c r="S28" s="361" t="s">
        <v>1082</v>
      </c>
      <c r="T28" s="361"/>
    </row>
    <row r="29" spans="1:20" ht="16.5">
      <c r="A29" s="1019"/>
      <c r="B29" s="1020"/>
      <c r="D29" s="361" t="s">
        <v>1107</v>
      </c>
      <c r="E29" s="361" t="s">
        <v>1107</v>
      </c>
      <c r="F29" s="361" t="s">
        <v>247</v>
      </c>
      <c r="G29" s="546">
        <v>33</v>
      </c>
      <c r="H29" s="361" t="s">
        <v>1083</v>
      </c>
      <c r="I29" s="546"/>
      <c r="J29" s="361"/>
      <c r="K29" s="361"/>
      <c r="L29" s="361"/>
      <c r="M29" s="361"/>
      <c r="N29" s="546">
        <v>16.100000000000001</v>
      </c>
      <c r="O29" s="548" t="s">
        <v>1094</v>
      </c>
      <c r="P29" s="361"/>
      <c r="Q29" s="361"/>
      <c r="R29" s="361"/>
      <c r="S29" s="361" t="s">
        <v>1082</v>
      </c>
      <c r="T29" s="361"/>
    </row>
    <row r="30" spans="1:20">
      <c r="A30" s="1019"/>
      <c r="B30" s="1020"/>
      <c r="D30" s="507"/>
      <c r="E30" s="507"/>
      <c r="F30" s="507"/>
      <c r="G30" s="549"/>
      <c r="H30" s="507"/>
      <c r="I30" s="549"/>
      <c r="J30" s="507"/>
      <c r="K30" s="549"/>
      <c r="L30" s="549"/>
      <c r="M30" s="549"/>
      <c r="N30" s="549"/>
      <c r="O30" s="101"/>
      <c r="P30" s="549"/>
      <c r="Q30" s="549"/>
      <c r="R30" s="507"/>
      <c r="S30" s="507"/>
    </row>
    <row r="31" spans="1:20">
      <c r="A31" s="1019"/>
      <c r="B31" s="1020"/>
      <c r="D31" s="550"/>
      <c r="E31" s="547" t="s">
        <v>1066</v>
      </c>
      <c r="F31" s="11"/>
      <c r="G31" s="108"/>
      <c r="H31" s="11"/>
      <c r="I31" s="108"/>
      <c r="J31" s="11"/>
      <c r="K31" s="108"/>
      <c r="L31" s="108"/>
      <c r="M31" s="108"/>
      <c r="N31" s="108"/>
      <c r="O31" s="11"/>
      <c r="P31" s="108"/>
      <c r="Q31" s="108"/>
      <c r="R31" s="11"/>
      <c r="S31" s="11"/>
      <c r="T31" s="11"/>
    </row>
    <row r="32" spans="1:20">
      <c r="A32" s="1019"/>
      <c r="B32" s="1020"/>
      <c r="D32" s="550"/>
      <c r="E32" s="547" t="s">
        <v>1066</v>
      </c>
      <c r="F32" s="11"/>
      <c r="G32" s="108"/>
      <c r="H32" s="11"/>
      <c r="I32" s="108"/>
      <c r="J32" s="11"/>
      <c r="K32" s="108"/>
      <c r="L32" s="108"/>
      <c r="M32" s="108"/>
      <c r="N32" s="108"/>
      <c r="O32" s="11"/>
      <c r="P32" s="108"/>
      <c r="Q32" s="108"/>
      <c r="R32" s="11"/>
      <c r="S32" s="11"/>
      <c r="T32" s="11"/>
    </row>
    <row r="33" spans="1:20">
      <c r="A33" s="1019"/>
      <c r="B33" s="1020"/>
      <c r="D33" s="550"/>
      <c r="E33" s="547" t="s">
        <v>1066</v>
      </c>
      <c r="F33" s="11"/>
      <c r="G33" s="108"/>
      <c r="H33" s="11"/>
      <c r="I33" s="108"/>
      <c r="J33" s="11"/>
      <c r="K33" s="108"/>
      <c r="L33" s="108"/>
      <c r="M33" s="108"/>
      <c r="N33" s="108"/>
      <c r="O33" s="11"/>
      <c r="P33" s="108"/>
      <c r="Q33" s="108"/>
      <c r="R33" s="11"/>
      <c r="S33" s="11"/>
      <c r="T33" s="11"/>
    </row>
    <row r="34" spans="1:20">
      <c r="B34" s="109"/>
      <c r="D34" s="47"/>
      <c r="E34" s="47"/>
      <c r="F34" s="47"/>
      <c r="G34" s="107"/>
      <c r="H34" s="47"/>
      <c r="I34" s="107"/>
      <c r="J34" s="47"/>
      <c r="K34" s="107"/>
      <c r="L34" s="107"/>
      <c r="M34" s="107"/>
      <c r="N34" s="107"/>
      <c r="O34" s="47"/>
      <c r="P34" s="107"/>
      <c r="Q34" s="107"/>
      <c r="R34" s="47"/>
      <c r="S34" s="47"/>
      <c r="T34" s="102"/>
    </row>
    <row r="35" spans="1:20" ht="14.65" customHeight="1">
      <c r="A35" s="1019" t="s">
        <v>1108</v>
      </c>
      <c r="B35" s="1020" t="s">
        <v>1109</v>
      </c>
      <c r="D35" s="842" t="s">
        <v>1792</v>
      </c>
      <c r="E35" s="842" t="s">
        <v>1795</v>
      </c>
      <c r="F35" s="361" t="s">
        <v>416</v>
      </c>
      <c r="G35" s="361" t="s">
        <v>1069</v>
      </c>
      <c r="H35" s="361" t="s">
        <v>228</v>
      </c>
      <c r="I35" s="361" t="s">
        <v>1070</v>
      </c>
      <c r="J35" s="361" t="s">
        <v>415</v>
      </c>
      <c r="K35" s="361" t="s">
        <v>1071</v>
      </c>
      <c r="L35" s="361" t="s">
        <v>1072</v>
      </c>
      <c r="M35" s="361" t="s">
        <v>411</v>
      </c>
      <c r="N35" s="361" t="s">
        <v>362</v>
      </c>
      <c r="O35" s="361" t="s">
        <v>1073</v>
      </c>
      <c r="P35" s="361" t="s">
        <v>1074</v>
      </c>
      <c r="Q35" s="361" t="s">
        <v>1110</v>
      </c>
      <c r="R35" s="361" t="s">
        <v>1076</v>
      </c>
      <c r="S35" s="361" t="s">
        <v>229</v>
      </c>
      <c r="T35" s="361" t="s">
        <v>417</v>
      </c>
    </row>
    <row r="36" spans="1:20" ht="14.65" customHeight="1">
      <c r="A36" s="1019"/>
      <c r="B36" s="1020"/>
      <c r="D36" s="361" t="s">
        <v>1111</v>
      </c>
      <c r="E36" s="361" t="s">
        <v>1111</v>
      </c>
      <c r="F36" s="361" t="s">
        <v>241</v>
      </c>
      <c r="G36" s="546"/>
      <c r="H36" s="361"/>
      <c r="I36" s="546"/>
      <c r="J36" s="361"/>
      <c r="K36" s="361"/>
      <c r="L36" s="361"/>
      <c r="M36" s="361"/>
      <c r="N36" s="546">
        <v>0.17019499999999999</v>
      </c>
      <c r="O36" s="361" t="s">
        <v>1084</v>
      </c>
      <c r="P36" s="361"/>
      <c r="Q36" s="361"/>
      <c r="R36" s="361"/>
      <c r="S36" s="361" t="s">
        <v>1082</v>
      </c>
      <c r="T36" s="361" t="s">
        <v>1112</v>
      </c>
    </row>
    <row r="37" spans="1:20" ht="14.65" customHeight="1">
      <c r="A37" s="1019"/>
      <c r="B37" s="1020"/>
      <c r="D37" s="361" t="s">
        <v>1113</v>
      </c>
      <c r="E37" s="361" t="s">
        <v>1113</v>
      </c>
      <c r="F37" s="361" t="s">
        <v>458</v>
      </c>
      <c r="G37" s="546">
        <v>5</v>
      </c>
      <c r="H37" s="361" t="s">
        <v>1114</v>
      </c>
      <c r="I37" s="546"/>
      <c r="J37" s="361"/>
      <c r="K37" s="361"/>
      <c r="L37" s="361"/>
      <c r="M37" s="361"/>
      <c r="N37" s="546">
        <v>0.85097499999999993</v>
      </c>
      <c r="O37" s="361" t="s">
        <v>1115</v>
      </c>
      <c r="P37" s="361"/>
      <c r="Q37" s="361"/>
      <c r="R37" s="361"/>
      <c r="S37" s="361" t="s">
        <v>1082</v>
      </c>
      <c r="T37" s="361"/>
    </row>
    <row r="38" spans="1:20" ht="14.65" customHeight="1">
      <c r="A38" s="1019"/>
      <c r="B38" s="1020"/>
      <c r="D38" s="361" t="s">
        <v>1116</v>
      </c>
      <c r="E38" s="361" t="s">
        <v>1116</v>
      </c>
      <c r="F38" s="361" t="s">
        <v>241</v>
      </c>
      <c r="G38" s="546"/>
      <c r="H38" s="361"/>
      <c r="I38" s="546"/>
      <c r="J38" s="361"/>
      <c r="K38" s="361"/>
      <c r="L38" s="361"/>
      <c r="M38" s="361"/>
      <c r="N38" s="546">
        <v>2.384E-2</v>
      </c>
      <c r="O38" s="361" t="s">
        <v>1084</v>
      </c>
      <c r="P38" s="361"/>
      <c r="Q38" s="361"/>
      <c r="R38" s="361"/>
      <c r="S38" s="361" t="s">
        <v>1082</v>
      </c>
      <c r="T38" s="361"/>
    </row>
    <row r="39" spans="1:20" ht="14.65" customHeight="1">
      <c r="A39" s="1019"/>
      <c r="B39" s="1020"/>
      <c r="D39" s="361" t="s">
        <v>1117</v>
      </c>
      <c r="E39" s="361" t="s">
        <v>1117</v>
      </c>
      <c r="F39" s="361" t="s">
        <v>458</v>
      </c>
      <c r="G39" s="546">
        <v>814</v>
      </c>
      <c r="H39" s="361" t="s">
        <v>1114</v>
      </c>
      <c r="I39" s="546">
        <v>200</v>
      </c>
      <c r="J39" s="361" t="s">
        <v>1118</v>
      </c>
      <c r="K39" s="361"/>
      <c r="L39" s="361"/>
      <c r="M39" s="361"/>
      <c r="N39" s="546">
        <v>19.405760000000001</v>
      </c>
      <c r="O39" s="361" t="s">
        <v>1115</v>
      </c>
      <c r="P39" s="361"/>
      <c r="Q39" s="361"/>
      <c r="R39" s="361"/>
      <c r="S39" s="361" t="s">
        <v>1082</v>
      </c>
      <c r="T39" s="361"/>
    </row>
    <row r="40" spans="1:20" ht="16.5">
      <c r="A40" s="1019"/>
      <c r="B40" s="1020"/>
      <c r="D40" s="361" t="s">
        <v>1119</v>
      </c>
      <c r="E40" s="361" t="s">
        <v>1119</v>
      </c>
      <c r="F40" s="361" t="s">
        <v>1120</v>
      </c>
      <c r="G40" s="546">
        <v>4.07</v>
      </c>
      <c r="H40" s="361" t="s">
        <v>1083</v>
      </c>
      <c r="I40" s="546"/>
      <c r="J40" s="361"/>
      <c r="K40" s="361"/>
      <c r="L40" s="361"/>
      <c r="M40" s="361"/>
      <c r="N40" s="546">
        <v>97.028800000000004</v>
      </c>
      <c r="O40" s="361" t="s">
        <v>1091</v>
      </c>
      <c r="P40" s="361"/>
      <c r="Q40" s="361"/>
      <c r="R40" s="361"/>
      <c r="S40" s="361" t="s">
        <v>1082</v>
      </c>
      <c r="T40" s="361"/>
    </row>
    <row r="41" spans="1:20" ht="16.5">
      <c r="A41" s="1019"/>
      <c r="B41" s="1020"/>
      <c r="D41" s="361" t="s">
        <v>1121</v>
      </c>
      <c r="E41" s="361" t="s">
        <v>1121</v>
      </c>
      <c r="F41" s="361" t="s">
        <v>241</v>
      </c>
      <c r="G41" s="546"/>
      <c r="H41" s="361"/>
      <c r="I41" s="546"/>
      <c r="J41" s="361"/>
      <c r="K41" s="361"/>
      <c r="L41" s="361"/>
      <c r="M41" s="361"/>
      <c r="N41" s="546">
        <v>0.44492799999999999</v>
      </c>
      <c r="O41" s="361" t="s">
        <v>1084</v>
      </c>
      <c r="P41" s="361"/>
      <c r="Q41" s="361"/>
      <c r="R41" s="361"/>
      <c r="S41" s="361" t="s">
        <v>1082</v>
      </c>
      <c r="T41" s="361"/>
    </row>
    <row r="42" spans="1:20" ht="16.5">
      <c r="A42" s="1019"/>
      <c r="B42" s="1020"/>
      <c r="D42" s="361" t="s">
        <v>1122</v>
      </c>
      <c r="E42" s="361" t="s">
        <v>1122</v>
      </c>
      <c r="F42" s="361" t="s">
        <v>1120</v>
      </c>
      <c r="G42" s="546">
        <v>5208.3329999999996</v>
      </c>
      <c r="H42" s="361" t="s">
        <v>1090</v>
      </c>
      <c r="I42" s="546"/>
      <c r="J42" s="361"/>
      <c r="K42" s="361"/>
      <c r="L42" s="361"/>
      <c r="M42" s="361"/>
      <c r="N42" s="546">
        <v>2317.3331850239997</v>
      </c>
      <c r="O42" s="361" t="s">
        <v>1091</v>
      </c>
      <c r="P42" s="361"/>
      <c r="Q42" s="361"/>
      <c r="R42" s="361"/>
      <c r="S42" s="361" t="s">
        <v>1082</v>
      </c>
      <c r="T42" s="361"/>
    </row>
    <row r="43" spans="1:20" ht="17.5">
      <c r="A43" s="1019"/>
      <c r="B43" s="1020"/>
      <c r="D43" s="361" t="s">
        <v>1123</v>
      </c>
      <c r="E43" s="361" t="s">
        <v>1123</v>
      </c>
      <c r="F43" s="361" t="s">
        <v>458</v>
      </c>
      <c r="G43" s="546">
        <v>3385.4164499999997</v>
      </c>
      <c r="H43" s="361" t="s">
        <v>1114</v>
      </c>
      <c r="I43" s="546">
        <v>0.65</v>
      </c>
      <c r="J43" s="361" t="s">
        <v>1124</v>
      </c>
      <c r="K43" s="361"/>
      <c r="L43" s="361"/>
      <c r="M43" s="361"/>
      <c r="N43" s="546">
        <v>1506.2665702656</v>
      </c>
      <c r="O43" s="361" t="s">
        <v>1115</v>
      </c>
      <c r="P43" s="361"/>
      <c r="Q43" s="361"/>
      <c r="R43" s="361"/>
      <c r="S43" s="361" t="s">
        <v>1082</v>
      </c>
      <c r="T43" s="361"/>
    </row>
    <row r="44" spans="1:20" ht="14.65" customHeight="1">
      <c r="A44" s="1019"/>
      <c r="B44" s="1020"/>
      <c r="D44" s="361" t="s">
        <v>1125</v>
      </c>
      <c r="E44" s="361" t="s">
        <v>1125</v>
      </c>
      <c r="F44" s="361" t="s">
        <v>241</v>
      </c>
      <c r="G44" s="546"/>
      <c r="H44" s="361"/>
      <c r="I44" s="546"/>
      <c r="J44" s="361"/>
      <c r="K44" s="361"/>
      <c r="L44" s="361"/>
      <c r="M44" s="361"/>
      <c r="N44" s="546">
        <v>0.44492799999999999</v>
      </c>
      <c r="O44" s="361" t="s">
        <v>1084</v>
      </c>
      <c r="P44" s="361"/>
      <c r="Q44" s="361"/>
      <c r="R44" s="361"/>
      <c r="S44" s="361" t="s">
        <v>1082</v>
      </c>
      <c r="T44" s="361"/>
    </row>
    <row r="45" spans="1:20" ht="16.5">
      <c r="A45" s="1019"/>
      <c r="B45" s="1020"/>
      <c r="D45" s="361" t="s">
        <v>1126</v>
      </c>
      <c r="E45" s="361" t="s">
        <v>1126</v>
      </c>
      <c r="F45" s="361" t="s">
        <v>1120</v>
      </c>
      <c r="G45" s="546">
        <v>5208.3329999999996</v>
      </c>
      <c r="H45" s="361" t="s">
        <v>1090</v>
      </c>
      <c r="I45" s="546"/>
      <c r="J45" s="361"/>
      <c r="K45" s="361"/>
      <c r="L45" s="361"/>
      <c r="M45" s="361"/>
      <c r="N45" s="546">
        <v>2317.3331850239997</v>
      </c>
      <c r="O45" s="361" t="s">
        <v>1091</v>
      </c>
      <c r="P45" s="361"/>
      <c r="Q45" s="361"/>
      <c r="R45" s="361"/>
      <c r="S45" s="361" t="s">
        <v>1082</v>
      </c>
      <c r="T45" s="361"/>
    </row>
    <row r="46" spans="1:20" ht="17.5">
      <c r="A46" s="1019"/>
      <c r="B46" s="1020"/>
      <c r="D46" s="361" t="s">
        <v>1127</v>
      </c>
      <c r="E46" s="361" t="s">
        <v>1127</v>
      </c>
      <c r="F46" s="361" t="s">
        <v>458</v>
      </c>
      <c r="G46" s="546">
        <v>3385.4164499999997</v>
      </c>
      <c r="H46" s="361" t="s">
        <v>1114</v>
      </c>
      <c r="I46" s="546">
        <v>0.65</v>
      </c>
      <c r="J46" s="361" t="s">
        <v>1124</v>
      </c>
      <c r="K46" s="361"/>
      <c r="L46" s="361"/>
      <c r="M46" s="361"/>
      <c r="N46" s="546">
        <v>1506.2665702656</v>
      </c>
      <c r="O46" s="361" t="s">
        <v>1115</v>
      </c>
      <c r="P46" s="361"/>
      <c r="Q46" s="361"/>
      <c r="R46" s="361"/>
      <c r="S46" s="361" t="s">
        <v>1082</v>
      </c>
      <c r="T46" s="361"/>
    </row>
    <row r="47" spans="1:20" ht="16.5">
      <c r="A47" s="1019"/>
      <c r="B47" s="1020"/>
      <c r="D47" s="361" t="s">
        <v>1128</v>
      </c>
      <c r="E47" s="361" t="s">
        <v>1128</v>
      </c>
      <c r="F47" s="361" t="s">
        <v>241</v>
      </c>
      <c r="G47" s="546"/>
      <c r="H47" s="361"/>
      <c r="I47" s="546"/>
      <c r="J47" s="361"/>
      <c r="K47" s="361"/>
      <c r="L47" s="361"/>
      <c r="M47" s="361"/>
      <c r="N47" s="546">
        <v>2.5058999999999998E-2</v>
      </c>
      <c r="O47" s="361" t="s">
        <v>1084</v>
      </c>
      <c r="P47" s="361"/>
      <c r="Q47" s="361"/>
      <c r="R47" s="361"/>
      <c r="S47" s="361" t="s">
        <v>1082</v>
      </c>
      <c r="T47" s="361"/>
    </row>
    <row r="48" spans="1:20" ht="14.65" customHeight="1">
      <c r="A48" s="1019"/>
      <c r="B48" s="1020"/>
      <c r="D48" s="842" t="s">
        <v>1785</v>
      </c>
      <c r="E48" s="842" t="s">
        <v>1785</v>
      </c>
      <c r="F48" s="361" t="s">
        <v>1129</v>
      </c>
      <c r="G48" s="546">
        <v>2035</v>
      </c>
      <c r="H48" s="361" t="s">
        <v>1130</v>
      </c>
      <c r="I48" s="546">
        <v>0.5</v>
      </c>
      <c r="J48" s="361" t="s">
        <v>1131</v>
      </c>
      <c r="K48" s="361"/>
      <c r="L48" s="361"/>
      <c r="M48" s="361"/>
      <c r="N48" s="546">
        <v>50.995065000000004</v>
      </c>
      <c r="O48" s="361" t="s">
        <v>1132</v>
      </c>
      <c r="P48" s="361"/>
      <c r="Q48" s="361"/>
      <c r="R48" s="361"/>
      <c r="S48" s="361" t="s">
        <v>1082</v>
      </c>
      <c r="T48" s="361"/>
    </row>
    <row r="49" spans="1:20" ht="14.65" customHeight="1">
      <c r="A49" s="1019"/>
      <c r="B49" s="1020"/>
      <c r="D49" s="842" t="s">
        <v>1786</v>
      </c>
      <c r="E49" s="842" t="s">
        <v>1786</v>
      </c>
      <c r="F49" s="361" t="s">
        <v>1133</v>
      </c>
      <c r="G49" s="546">
        <v>2849</v>
      </c>
      <c r="H49" s="361" t="s">
        <v>1134</v>
      </c>
      <c r="I49" s="546">
        <v>1.4</v>
      </c>
      <c r="J49" s="361" t="s">
        <v>1135</v>
      </c>
      <c r="K49" s="361"/>
      <c r="L49" s="361"/>
      <c r="M49" s="361"/>
      <c r="N49" s="546">
        <v>71.393090999999998</v>
      </c>
      <c r="O49" s="361" t="s">
        <v>1136</v>
      </c>
      <c r="P49" s="361"/>
      <c r="Q49" s="361"/>
      <c r="R49" s="361"/>
      <c r="S49" s="361" t="s">
        <v>1082</v>
      </c>
      <c r="T49" s="361"/>
    </row>
    <row r="50" spans="1:20" ht="17.5">
      <c r="A50" s="1019"/>
      <c r="B50" s="1020"/>
      <c r="D50" s="361" t="s">
        <v>1137</v>
      </c>
      <c r="E50" s="361" t="s">
        <v>1137</v>
      </c>
      <c r="F50" s="361" t="s">
        <v>458</v>
      </c>
      <c r="G50" s="546">
        <v>11.55</v>
      </c>
      <c r="H50" s="361" t="s">
        <v>1114</v>
      </c>
      <c r="I50" s="546"/>
      <c r="J50" s="361"/>
      <c r="K50" s="361"/>
      <c r="L50" s="361"/>
      <c r="M50" s="361"/>
      <c r="N50" s="546">
        <v>2.7384168735000003</v>
      </c>
      <c r="O50" s="361" t="s">
        <v>1115</v>
      </c>
      <c r="P50" s="361"/>
      <c r="Q50" s="361"/>
      <c r="R50" s="361"/>
      <c r="S50" s="361" t="s">
        <v>1082</v>
      </c>
      <c r="T50" s="361"/>
    </row>
    <row r="51" spans="1:20" ht="16.5">
      <c r="A51" s="1019"/>
      <c r="B51" s="1020"/>
      <c r="D51" s="361" t="s">
        <v>192</v>
      </c>
      <c r="E51" s="361" t="s">
        <v>192</v>
      </c>
      <c r="F51" s="361" t="s">
        <v>241</v>
      </c>
      <c r="G51" s="546">
        <v>13.89</v>
      </c>
      <c r="H51" s="361" t="s">
        <v>1083</v>
      </c>
      <c r="I51" s="546">
        <v>0.73</v>
      </c>
      <c r="J51" s="361" t="s">
        <v>1093</v>
      </c>
      <c r="K51" s="361"/>
      <c r="L51" s="361"/>
      <c r="M51" s="361"/>
      <c r="N51" s="546">
        <v>0.27100000000000002</v>
      </c>
      <c r="O51" s="361" t="s">
        <v>1084</v>
      </c>
      <c r="P51" s="361"/>
      <c r="Q51" s="361"/>
      <c r="R51" s="361"/>
      <c r="S51" s="361" t="s">
        <v>1085</v>
      </c>
      <c r="T51" s="361"/>
    </row>
    <row r="52" spans="1:20" ht="16.5">
      <c r="A52" s="1019"/>
      <c r="B52" s="1020"/>
      <c r="D52" s="361" t="s">
        <v>1138</v>
      </c>
      <c r="E52" s="361" t="s">
        <v>1138</v>
      </c>
      <c r="F52" s="361" t="s">
        <v>241</v>
      </c>
      <c r="G52" s="546"/>
      <c r="H52" s="361"/>
      <c r="I52" s="546"/>
      <c r="J52" s="361"/>
      <c r="K52" s="361"/>
      <c r="L52" s="361"/>
      <c r="M52" s="361"/>
      <c r="N52" s="546">
        <v>0.30751600000000001</v>
      </c>
      <c r="O52" s="361" t="s">
        <v>1084</v>
      </c>
      <c r="P52" s="361"/>
      <c r="Q52" s="361"/>
      <c r="R52" s="361"/>
      <c r="S52" s="361" t="s">
        <v>1082</v>
      </c>
      <c r="T52" s="361" t="s">
        <v>1139</v>
      </c>
    </row>
    <row r="53" spans="1:20" ht="14.65" customHeight="1">
      <c r="A53" s="1019"/>
      <c r="B53" s="1020"/>
      <c r="D53" s="361" t="s">
        <v>1140</v>
      </c>
      <c r="E53" s="361" t="s">
        <v>1140</v>
      </c>
      <c r="F53" s="361" t="s">
        <v>241</v>
      </c>
      <c r="G53" s="546">
        <v>12.77778</v>
      </c>
      <c r="H53" s="361" t="s">
        <v>1083</v>
      </c>
      <c r="I53" s="546">
        <v>0.6</v>
      </c>
      <c r="J53" s="361" t="s">
        <v>1080</v>
      </c>
      <c r="K53" s="361"/>
      <c r="L53" s="361"/>
      <c r="M53" s="361"/>
      <c r="N53" s="546">
        <v>0.29407698039776808</v>
      </c>
      <c r="O53" s="361" t="s">
        <v>1084</v>
      </c>
      <c r="P53" s="361"/>
      <c r="Q53" s="361"/>
      <c r="R53" s="361"/>
      <c r="S53" s="361" t="s">
        <v>1082</v>
      </c>
      <c r="T53" s="361"/>
    </row>
    <row r="54" spans="1:20" ht="16.5">
      <c r="A54" s="1019"/>
      <c r="B54" s="1020"/>
      <c r="D54" s="361" t="s">
        <v>1141</v>
      </c>
      <c r="E54" s="361" t="s">
        <v>1141</v>
      </c>
      <c r="F54" s="361" t="s">
        <v>1142</v>
      </c>
      <c r="G54" s="546">
        <v>7.6666679999999996</v>
      </c>
      <c r="H54" s="361" t="s">
        <v>1079</v>
      </c>
      <c r="I54" s="546"/>
      <c r="J54" s="361"/>
      <c r="K54" s="361"/>
      <c r="L54" s="361"/>
      <c r="M54" s="361"/>
      <c r="N54" s="546">
        <v>2.2545905751521955</v>
      </c>
      <c r="O54" s="361" t="s">
        <v>1081</v>
      </c>
      <c r="P54" s="361"/>
      <c r="Q54" s="361"/>
      <c r="R54" s="361"/>
      <c r="S54" s="361" t="s">
        <v>1082</v>
      </c>
      <c r="T54" s="361"/>
    </row>
    <row r="55" spans="1:20" ht="17.5">
      <c r="A55" s="1019"/>
      <c r="B55" s="1020"/>
      <c r="D55" s="361" t="s">
        <v>1143</v>
      </c>
      <c r="E55" s="361" t="s">
        <v>1143</v>
      </c>
      <c r="F55" s="361" t="s">
        <v>458</v>
      </c>
      <c r="G55" s="546">
        <v>30.130005239999999</v>
      </c>
      <c r="H55" s="361" t="s">
        <v>1114</v>
      </c>
      <c r="I55" s="546">
        <v>3.93</v>
      </c>
      <c r="J55" s="361" t="s">
        <v>1144</v>
      </c>
      <c r="K55" s="361"/>
      <c r="L55" s="361"/>
      <c r="M55" s="361"/>
      <c r="N55" s="546">
        <v>8.8605409603481284</v>
      </c>
      <c r="O55" s="361" t="s">
        <v>1115</v>
      </c>
      <c r="P55" s="361"/>
      <c r="Q55" s="361"/>
      <c r="R55" s="361"/>
      <c r="S55" s="361" t="s">
        <v>1082</v>
      </c>
      <c r="T55" s="361"/>
    </row>
    <row r="56" spans="1:20" ht="16.5">
      <c r="A56" s="1019"/>
      <c r="B56" s="1020"/>
      <c r="D56" s="361" t="s">
        <v>1145</v>
      </c>
      <c r="E56" s="361" t="s">
        <v>1145</v>
      </c>
      <c r="F56" s="361" t="s">
        <v>1120</v>
      </c>
      <c r="G56" s="546">
        <v>12.77778</v>
      </c>
      <c r="H56" s="361" t="s">
        <v>1083</v>
      </c>
      <c r="I56" s="546"/>
      <c r="J56" s="361"/>
      <c r="K56" s="361"/>
      <c r="L56" s="361"/>
      <c r="M56" s="361"/>
      <c r="N56" s="546">
        <v>3757.6509585869926</v>
      </c>
      <c r="O56" s="361" t="s">
        <v>1091</v>
      </c>
      <c r="P56" s="361"/>
      <c r="Q56" s="361"/>
      <c r="R56" s="361"/>
      <c r="S56" s="361" t="s">
        <v>1082</v>
      </c>
      <c r="T56" s="361"/>
    </row>
    <row r="57" spans="1:20" ht="16.5" customHeight="1">
      <c r="A57" s="1019"/>
      <c r="B57" s="1020"/>
      <c r="D57" s="361" t="s">
        <v>190</v>
      </c>
      <c r="E57" s="361" t="s">
        <v>190</v>
      </c>
      <c r="F57" s="361" t="s">
        <v>241</v>
      </c>
      <c r="G57" s="546">
        <v>11.93</v>
      </c>
      <c r="H57" s="361" t="s">
        <v>1083</v>
      </c>
      <c r="I57" s="546">
        <v>0.83699999999999997</v>
      </c>
      <c r="J57" s="361" t="s">
        <v>1080</v>
      </c>
      <c r="K57" s="361"/>
      <c r="L57" s="361"/>
      <c r="M57" s="361"/>
      <c r="N57" s="546">
        <v>0.33700000000000002</v>
      </c>
      <c r="O57" s="361" t="s">
        <v>1146</v>
      </c>
      <c r="P57" s="361"/>
      <c r="Q57" s="361"/>
      <c r="R57" s="361"/>
      <c r="S57" s="361" t="s">
        <v>1085</v>
      </c>
      <c r="T57" s="361"/>
    </row>
    <row r="58" spans="1:20" ht="16.5" customHeight="1">
      <c r="A58" s="1019"/>
      <c r="B58" s="1020"/>
      <c r="D58" s="361" t="s">
        <v>202</v>
      </c>
      <c r="E58" s="361" t="s">
        <v>202</v>
      </c>
      <c r="F58" s="361" t="s">
        <v>853</v>
      </c>
      <c r="G58" s="546">
        <v>11.93</v>
      </c>
      <c r="H58" s="361" t="s">
        <v>1083</v>
      </c>
      <c r="I58" s="546">
        <v>0.83699999999999997</v>
      </c>
      <c r="J58" s="361" t="s">
        <v>1080</v>
      </c>
      <c r="K58" s="361"/>
      <c r="L58" s="361"/>
      <c r="M58" s="361"/>
      <c r="N58" s="546">
        <v>3.3650831699999997</v>
      </c>
      <c r="O58" s="361" t="s">
        <v>1147</v>
      </c>
      <c r="P58" s="361"/>
      <c r="Q58" s="361"/>
      <c r="R58" s="361"/>
      <c r="S58" s="361" t="s">
        <v>1085</v>
      </c>
      <c r="T58" s="361"/>
    </row>
    <row r="59" spans="1:20" ht="16.5">
      <c r="A59" s="1019"/>
      <c r="B59" s="1020"/>
      <c r="D59" s="361" t="s">
        <v>1148</v>
      </c>
      <c r="E59" s="361" t="s">
        <v>1148</v>
      </c>
      <c r="F59" s="361" t="s">
        <v>241</v>
      </c>
      <c r="G59" s="546"/>
      <c r="H59" s="361"/>
      <c r="I59" s="546"/>
      <c r="J59" s="361"/>
      <c r="K59" s="361"/>
      <c r="L59" s="361"/>
      <c r="M59" s="361"/>
      <c r="N59" s="546">
        <v>0.31274599999999997</v>
      </c>
      <c r="O59" s="361" t="s">
        <v>1084</v>
      </c>
      <c r="P59" s="361"/>
      <c r="Q59" s="361"/>
      <c r="R59" s="361"/>
      <c r="S59" s="361" t="s">
        <v>1082</v>
      </c>
      <c r="T59" s="361"/>
    </row>
    <row r="60" spans="1:20" ht="16.5">
      <c r="A60" s="1019"/>
      <c r="B60" s="1020"/>
      <c r="D60" s="361" t="s">
        <v>1149</v>
      </c>
      <c r="E60" s="361" t="s">
        <v>1149</v>
      </c>
      <c r="F60" s="361" t="s">
        <v>1142</v>
      </c>
      <c r="G60" s="546">
        <v>10.046110000000001</v>
      </c>
      <c r="H60" s="361" t="s">
        <v>1079</v>
      </c>
      <c r="I60" s="546"/>
      <c r="J60" s="361"/>
      <c r="K60" s="361"/>
      <c r="L60" s="361"/>
      <c r="M60" s="361"/>
      <c r="N60" s="546">
        <v>3.1418807180600004</v>
      </c>
      <c r="O60" s="361" t="s">
        <v>1081</v>
      </c>
      <c r="P60" s="361"/>
      <c r="Q60" s="361"/>
      <c r="R60" s="361"/>
      <c r="S60" s="361" t="s">
        <v>1082</v>
      </c>
      <c r="T60" s="361"/>
    </row>
    <row r="61" spans="1:20" ht="17.5">
      <c r="A61" s="1019"/>
      <c r="B61" s="1020"/>
      <c r="D61" s="361" t="s">
        <v>1150</v>
      </c>
      <c r="E61" s="361" t="s">
        <v>1150</v>
      </c>
      <c r="F61" s="361" t="s">
        <v>458</v>
      </c>
      <c r="G61" s="546">
        <v>10046.11</v>
      </c>
      <c r="H61" s="361" t="s">
        <v>1114</v>
      </c>
      <c r="I61" s="546">
        <v>1000</v>
      </c>
      <c r="J61" s="361" t="s">
        <v>1144</v>
      </c>
      <c r="K61" s="361"/>
      <c r="L61" s="361"/>
      <c r="M61" s="361"/>
      <c r="N61" s="546">
        <v>3141.8807180600002</v>
      </c>
      <c r="O61" s="361" t="s">
        <v>1115</v>
      </c>
      <c r="P61" s="361"/>
      <c r="Q61" s="361"/>
      <c r="R61" s="361"/>
      <c r="S61" s="361" t="s">
        <v>1082</v>
      </c>
      <c r="T61" s="361"/>
    </row>
    <row r="62" spans="1:20" ht="16.5">
      <c r="A62" s="1019"/>
      <c r="B62" s="1020"/>
      <c r="D62" s="361" t="s">
        <v>1151</v>
      </c>
      <c r="E62" s="361" t="s">
        <v>1151</v>
      </c>
      <c r="F62" s="361" t="s">
        <v>1142</v>
      </c>
      <c r="G62" s="546">
        <v>9.4907799999999991</v>
      </c>
      <c r="H62" s="361" t="s">
        <v>1079</v>
      </c>
      <c r="I62" s="546">
        <v>0.86499999999999999</v>
      </c>
      <c r="J62" s="361" t="s">
        <v>1080</v>
      </c>
      <c r="K62" s="361"/>
      <c r="L62" s="361"/>
      <c r="M62" s="361"/>
      <c r="N62" s="546">
        <v>3.0904503001020003</v>
      </c>
      <c r="O62" s="361" t="s">
        <v>1081</v>
      </c>
      <c r="P62" s="361"/>
      <c r="Q62" s="361"/>
      <c r="R62" s="361"/>
      <c r="S62" s="361" t="s">
        <v>1082</v>
      </c>
      <c r="T62" s="361"/>
    </row>
    <row r="63" spans="1:20" ht="17.5">
      <c r="A63" s="1019"/>
      <c r="B63" s="1020"/>
      <c r="D63" s="361" t="s">
        <v>1152</v>
      </c>
      <c r="E63" s="361" t="s">
        <v>1152</v>
      </c>
      <c r="F63" s="361" t="s">
        <v>458</v>
      </c>
      <c r="G63" s="546">
        <v>9490.7799999999988</v>
      </c>
      <c r="H63" s="361" t="s">
        <v>1114</v>
      </c>
      <c r="I63" s="546">
        <v>1000</v>
      </c>
      <c r="J63" s="361" t="s">
        <v>1144</v>
      </c>
      <c r="K63" s="361"/>
      <c r="L63" s="361"/>
      <c r="M63" s="361"/>
      <c r="N63" s="546">
        <v>3090.4503001020007</v>
      </c>
      <c r="O63" s="361" t="s">
        <v>1115</v>
      </c>
      <c r="P63" s="361"/>
      <c r="Q63" s="361"/>
      <c r="R63" s="361"/>
      <c r="S63" s="361" t="s">
        <v>1082</v>
      </c>
      <c r="T63" s="361"/>
    </row>
    <row r="64" spans="1:20" ht="16.5">
      <c r="A64" s="1019"/>
      <c r="B64" s="1020"/>
      <c r="D64" s="361" t="s">
        <v>1153</v>
      </c>
      <c r="E64" s="361" t="s">
        <v>1153</v>
      </c>
      <c r="F64" s="361" t="s">
        <v>1120</v>
      </c>
      <c r="G64" s="546">
        <v>10971.999999999998</v>
      </c>
      <c r="H64" s="361" t="s">
        <v>1090</v>
      </c>
      <c r="I64" s="546">
        <v>0.86499999999999999</v>
      </c>
      <c r="J64" s="361" t="s">
        <v>1124</v>
      </c>
      <c r="K64" s="361"/>
      <c r="L64" s="361"/>
      <c r="M64" s="361"/>
      <c r="N64" s="546">
        <v>3572.7749134127175</v>
      </c>
      <c r="O64" s="361" t="s">
        <v>1091</v>
      </c>
      <c r="P64" s="361"/>
      <c r="Q64" s="361"/>
      <c r="R64" s="361"/>
      <c r="S64" s="361" t="s">
        <v>1082</v>
      </c>
      <c r="T64" s="361"/>
    </row>
    <row r="65" spans="1:21" ht="16.5">
      <c r="A65" s="1019"/>
      <c r="B65" s="1020"/>
      <c r="D65" s="361" t="s">
        <v>1154</v>
      </c>
      <c r="E65" s="361" t="s">
        <v>1154</v>
      </c>
      <c r="F65" s="361" t="s">
        <v>241</v>
      </c>
      <c r="G65" s="546"/>
      <c r="H65" s="361"/>
      <c r="I65" s="546"/>
      <c r="J65" s="361"/>
      <c r="K65" s="361"/>
      <c r="L65" s="361"/>
      <c r="M65" s="361"/>
      <c r="N65" s="546">
        <v>0.32562658707735304</v>
      </c>
      <c r="O65" s="361" t="s">
        <v>1084</v>
      </c>
      <c r="P65" s="361"/>
      <c r="Q65" s="361"/>
      <c r="R65" s="361"/>
      <c r="S65" s="361" t="s">
        <v>1082</v>
      </c>
      <c r="T65" s="361"/>
    </row>
    <row r="66" spans="1:21" ht="16.5">
      <c r="A66" s="1019"/>
      <c r="B66" s="1020"/>
      <c r="D66" s="361" t="s">
        <v>1155</v>
      </c>
      <c r="E66" s="361" t="s">
        <v>1155</v>
      </c>
      <c r="F66" s="361" t="s">
        <v>241</v>
      </c>
      <c r="G66" s="546"/>
      <c r="H66" s="361"/>
      <c r="I66" s="546"/>
      <c r="J66" s="361"/>
      <c r="K66" s="361"/>
      <c r="L66" s="361"/>
      <c r="M66" s="361"/>
      <c r="N66" s="546">
        <v>1.6156E-2</v>
      </c>
      <c r="O66" s="361" t="s">
        <v>1084</v>
      </c>
      <c r="P66" s="361"/>
      <c r="Q66" s="361"/>
      <c r="R66" s="361"/>
      <c r="S66" s="361" t="s">
        <v>1082</v>
      </c>
      <c r="T66" s="361"/>
    </row>
    <row r="67" spans="1:21" ht="16.5">
      <c r="A67" s="1019"/>
      <c r="B67" s="1020"/>
      <c r="D67" s="361" t="s">
        <v>1156</v>
      </c>
      <c r="E67" s="361" t="s">
        <v>1156</v>
      </c>
      <c r="F67" s="361" t="s">
        <v>1120</v>
      </c>
      <c r="G67" s="546">
        <v>4070</v>
      </c>
      <c r="H67" s="361" t="s">
        <v>1090</v>
      </c>
      <c r="I67" s="546"/>
      <c r="J67" s="361"/>
      <c r="K67" s="361"/>
      <c r="L67" s="361"/>
      <c r="M67" s="361"/>
      <c r="N67" s="546">
        <v>65.754919999999998</v>
      </c>
      <c r="O67" s="361" t="s">
        <v>1091</v>
      </c>
      <c r="P67" s="361"/>
      <c r="Q67" s="361"/>
      <c r="R67" s="361"/>
      <c r="S67" s="361" t="s">
        <v>1082</v>
      </c>
      <c r="T67" s="361"/>
    </row>
    <row r="68" spans="1:21" ht="17.5">
      <c r="A68" s="1019"/>
      <c r="B68" s="1020"/>
      <c r="D68" s="361" t="s">
        <v>1157</v>
      </c>
      <c r="E68" s="361" t="s">
        <v>1157</v>
      </c>
      <c r="F68" s="361" t="s">
        <v>458</v>
      </c>
      <c r="G68" s="546">
        <v>1017.5</v>
      </c>
      <c r="H68" s="361" t="s">
        <v>1114</v>
      </c>
      <c r="I68" s="546">
        <v>0.25</v>
      </c>
      <c r="J68" s="361" t="s">
        <v>1124</v>
      </c>
      <c r="K68" s="361"/>
      <c r="L68" s="361"/>
      <c r="M68" s="361"/>
      <c r="N68" s="546">
        <v>16.43873</v>
      </c>
      <c r="O68" s="361" t="s">
        <v>1115</v>
      </c>
      <c r="P68" s="361"/>
      <c r="Q68" s="361"/>
      <c r="R68" s="361"/>
      <c r="S68" s="361" t="s">
        <v>1082</v>
      </c>
      <c r="T68" s="361"/>
    </row>
    <row r="69" spans="1:21" ht="16.5">
      <c r="A69" s="1019"/>
      <c r="B69" s="1020"/>
      <c r="D69" s="361" t="s">
        <v>196</v>
      </c>
      <c r="E69" s="361" t="s">
        <v>196</v>
      </c>
      <c r="F69" s="361" t="s">
        <v>241</v>
      </c>
      <c r="G69" s="546"/>
      <c r="H69" s="361"/>
      <c r="I69" s="546"/>
      <c r="J69" s="361"/>
      <c r="K69" s="361"/>
      <c r="L69" s="361"/>
      <c r="M69" s="361"/>
      <c r="N69" s="546">
        <v>1.0602E-2</v>
      </c>
      <c r="O69" s="361" t="s">
        <v>1084</v>
      </c>
      <c r="P69" s="361"/>
      <c r="Q69" s="361"/>
      <c r="R69" s="361"/>
      <c r="S69" s="361" t="s">
        <v>1082</v>
      </c>
      <c r="T69" s="361"/>
    </row>
    <row r="70" spans="1:21" ht="16.5">
      <c r="A70" s="1019"/>
      <c r="B70" s="1020"/>
      <c r="D70" s="361" t="s">
        <v>1158</v>
      </c>
      <c r="E70" s="361" t="s">
        <v>1158</v>
      </c>
      <c r="F70" s="361" t="s">
        <v>1120</v>
      </c>
      <c r="G70" s="546">
        <v>5000</v>
      </c>
      <c r="H70" s="361" t="s">
        <v>1090</v>
      </c>
      <c r="I70" s="546"/>
      <c r="J70" s="361"/>
      <c r="K70" s="361"/>
      <c r="L70" s="361"/>
      <c r="M70" s="361"/>
      <c r="N70" s="546">
        <v>53.01</v>
      </c>
      <c r="O70" s="361" t="s">
        <v>1091</v>
      </c>
      <c r="P70" s="361"/>
      <c r="Q70" s="361"/>
      <c r="R70" s="361"/>
      <c r="S70" s="361" t="s">
        <v>1082</v>
      </c>
      <c r="T70" s="361"/>
    </row>
    <row r="71" spans="1:21" ht="17.5">
      <c r="A71" s="1019"/>
      <c r="B71" s="1020"/>
      <c r="D71" s="361" t="s">
        <v>1159</v>
      </c>
      <c r="E71" s="361" t="s">
        <v>1159</v>
      </c>
      <c r="F71" s="361" t="s">
        <v>458</v>
      </c>
      <c r="G71" s="546">
        <v>3333.3333333333335</v>
      </c>
      <c r="H71" s="361" t="s">
        <v>1114</v>
      </c>
      <c r="I71" s="546">
        <v>1.5</v>
      </c>
      <c r="J71" s="842" t="s">
        <v>1124</v>
      </c>
      <c r="K71" s="361"/>
      <c r="L71" s="361"/>
      <c r="M71" s="361"/>
      <c r="N71" s="546">
        <v>35.340000000000003</v>
      </c>
      <c r="O71" s="361" t="s">
        <v>1115</v>
      </c>
      <c r="P71" s="361"/>
      <c r="Q71" s="361"/>
      <c r="R71" s="361"/>
      <c r="S71" s="361" t="s">
        <v>1082</v>
      </c>
      <c r="T71" s="361"/>
    </row>
    <row r="72" spans="1:21" ht="16.5">
      <c r="A72" s="1019"/>
      <c r="B72" s="1020"/>
      <c r="D72" s="361" t="s">
        <v>1160</v>
      </c>
      <c r="E72" s="361" t="s">
        <v>1160</v>
      </c>
      <c r="F72" s="361" t="s">
        <v>241</v>
      </c>
      <c r="G72" s="546"/>
      <c r="H72" s="361"/>
      <c r="I72" s="546"/>
      <c r="J72" s="361"/>
      <c r="K72" s="361"/>
      <c r="L72" s="361"/>
      <c r="M72" s="361"/>
      <c r="N72" s="546">
        <v>0.43268699999999999</v>
      </c>
      <c r="O72" s="361" t="s">
        <v>1084</v>
      </c>
      <c r="P72" s="361"/>
      <c r="Q72" s="361"/>
      <c r="R72" s="361"/>
      <c r="S72" s="361" t="s">
        <v>1082</v>
      </c>
      <c r="T72" s="361"/>
    </row>
    <row r="73" spans="1:21" ht="16.5">
      <c r="A73" s="1019"/>
      <c r="B73" s="1020"/>
      <c r="D73" s="361" t="s">
        <v>1161</v>
      </c>
      <c r="E73" s="361" t="s">
        <v>1161</v>
      </c>
      <c r="F73" s="361" t="s">
        <v>1120</v>
      </c>
      <c r="G73" s="546">
        <v>8350.6944000000003</v>
      </c>
      <c r="H73" s="361" t="s">
        <v>1090</v>
      </c>
      <c r="I73" s="546"/>
      <c r="J73" s="361"/>
      <c r="K73" s="361"/>
      <c r="L73" s="361"/>
      <c r="M73" s="361"/>
      <c r="N73" s="546">
        <v>3613.2369078527995</v>
      </c>
      <c r="O73" s="361" t="s">
        <v>1091</v>
      </c>
      <c r="P73" s="361"/>
      <c r="Q73" s="361"/>
      <c r="R73" s="361"/>
      <c r="S73" s="361" t="s">
        <v>1082</v>
      </c>
      <c r="T73" s="361"/>
    </row>
    <row r="74" spans="1:21" ht="17.5">
      <c r="A74" s="1019"/>
      <c r="B74" s="1020"/>
      <c r="D74" s="361" t="s">
        <v>1162</v>
      </c>
      <c r="E74" s="361" t="s">
        <v>1162</v>
      </c>
      <c r="F74" s="361" t="s">
        <v>458</v>
      </c>
      <c r="G74" s="546">
        <v>6931.076352</v>
      </c>
      <c r="H74" s="361" t="s">
        <v>1114</v>
      </c>
      <c r="I74" s="546">
        <v>0.83</v>
      </c>
      <c r="J74" s="361" t="s">
        <v>1124</v>
      </c>
      <c r="K74" s="361"/>
      <c r="L74" s="361"/>
      <c r="M74" s="361"/>
      <c r="N74" s="546">
        <v>2998.9866335178235</v>
      </c>
      <c r="O74" s="361" t="s">
        <v>1115</v>
      </c>
      <c r="P74" s="361"/>
      <c r="Q74" s="361"/>
      <c r="R74" s="361"/>
      <c r="S74" s="361" t="s">
        <v>1082</v>
      </c>
      <c r="T74" s="361"/>
    </row>
    <row r="75" spans="1:21">
      <c r="A75" s="1019"/>
      <c r="B75" s="1020"/>
      <c r="D75" s="47"/>
      <c r="E75" s="47"/>
      <c r="F75" s="47"/>
      <c r="G75" s="107"/>
      <c r="H75" s="47"/>
      <c r="I75" s="107"/>
      <c r="J75" s="47"/>
      <c r="K75" s="107"/>
      <c r="L75" s="107"/>
      <c r="M75" s="107"/>
      <c r="N75" s="107"/>
      <c r="O75" s="47"/>
      <c r="P75" s="107"/>
      <c r="Q75" s="107"/>
      <c r="R75" s="47"/>
      <c r="S75" s="47"/>
      <c r="T75" s="102"/>
    </row>
    <row r="76" spans="1:21">
      <c r="A76" s="1019"/>
      <c r="B76" s="1020"/>
      <c r="D76" s="550"/>
      <c r="E76" s="547" t="s">
        <v>1066</v>
      </c>
      <c r="F76" s="11"/>
      <c r="G76" s="108"/>
      <c r="H76" s="11"/>
      <c r="I76" s="108"/>
      <c r="J76" s="11"/>
      <c r="K76" s="108"/>
      <c r="L76" s="108"/>
      <c r="M76" s="108"/>
      <c r="N76" s="108"/>
      <c r="O76" s="11"/>
      <c r="P76" s="108"/>
      <c r="Q76" s="108"/>
      <c r="R76" s="11"/>
      <c r="S76" s="11"/>
      <c r="T76" s="11"/>
      <c r="U76" s="102" t="s">
        <v>1163</v>
      </c>
    </row>
    <row r="77" spans="1:21">
      <c r="A77" s="1019"/>
      <c r="B77" s="1020"/>
      <c r="D77" s="550"/>
      <c r="E77" s="547" t="s">
        <v>1066</v>
      </c>
      <c r="F77" s="11"/>
      <c r="G77" s="108"/>
      <c r="H77" s="11"/>
      <c r="I77" s="108"/>
      <c r="J77" s="11"/>
      <c r="K77" s="108"/>
      <c r="L77" s="108"/>
      <c r="M77" s="108"/>
      <c r="N77" s="108"/>
      <c r="O77" s="11"/>
      <c r="P77" s="108"/>
      <c r="Q77" s="108"/>
      <c r="R77" s="11"/>
      <c r="S77" s="11"/>
      <c r="T77" s="11"/>
      <c r="U77" s="102" t="s">
        <v>1164</v>
      </c>
    </row>
    <row r="78" spans="1:21">
      <c r="A78" s="1019"/>
      <c r="B78" s="1020"/>
      <c r="D78" s="550"/>
      <c r="E78" s="547" t="s">
        <v>1066</v>
      </c>
      <c r="F78" s="11"/>
      <c r="G78" s="108"/>
      <c r="H78" s="11"/>
      <c r="I78" s="108"/>
      <c r="J78" s="11"/>
      <c r="K78" s="108"/>
      <c r="L78" s="108"/>
      <c r="M78" s="108"/>
      <c r="N78" s="108"/>
      <c r="O78" s="11"/>
      <c r="P78" s="108"/>
      <c r="Q78" s="108"/>
      <c r="R78" s="11"/>
      <c r="S78" s="11"/>
      <c r="T78" s="11"/>
      <c r="U78" s="102" t="s">
        <v>1855</v>
      </c>
    </row>
    <row r="79" spans="1:21">
      <c r="B79" s="109"/>
    </row>
    <row r="80" spans="1:21" ht="14.65" customHeight="1">
      <c r="A80" s="1019" t="s">
        <v>1165</v>
      </c>
      <c r="B80" s="1021" t="s">
        <v>1166</v>
      </c>
      <c r="D80" s="842" t="s">
        <v>1793</v>
      </c>
      <c r="E80" s="842" t="s">
        <v>1794</v>
      </c>
      <c r="F80" s="361" t="s">
        <v>416</v>
      </c>
      <c r="G80" s="361" t="s">
        <v>1069</v>
      </c>
      <c r="H80" s="361" t="s">
        <v>228</v>
      </c>
      <c r="I80" s="361" t="s">
        <v>1070</v>
      </c>
      <c r="J80" s="361" t="s">
        <v>415</v>
      </c>
      <c r="K80" s="361" t="s">
        <v>1071</v>
      </c>
      <c r="L80" s="361" t="s">
        <v>1072</v>
      </c>
      <c r="M80" s="361" t="s">
        <v>411</v>
      </c>
      <c r="N80" s="361" t="s">
        <v>362</v>
      </c>
      <c r="O80" s="361" t="s">
        <v>1073</v>
      </c>
      <c r="P80" s="361" t="s">
        <v>1074</v>
      </c>
      <c r="Q80" s="361" t="s">
        <v>1110</v>
      </c>
      <c r="R80" s="361" t="s">
        <v>1076</v>
      </c>
      <c r="S80" s="361" t="s">
        <v>229</v>
      </c>
      <c r="T80" s="361" t="s">
        <v>417</v>
      </c>
    </row>
    <row r="81" spans="1:20" ht="16.5">
      <c r="A81" s="1019"/>
      <c r="B81" s="1021"/>
      <c r="D81" s="551" t="s">
        <v>1167</v>
      </c>
      <c r="E81" s="551" t="s">
        <v>1167</v>
      </c>
      <c r="F81" s="551" t="s">
        <v>241</v>
      </c>
      <c r="G81" s="213"/>
      <c r="H81" s="212"/>
      <c r="I81" s="213"/>
      <c r="J81" s="212"/>
      <c r="K81" s="213"/>
      <c r="L81" s="213"/>
      <c r="M81" s="213"/>
      <c r="N81" s="213">
        <v>0.29297578063563862</v>
      </c>
      <c r="O81" s="548" t="s">
        <v>1084</v>
      </c>
      <c r="P81" s="213"/>
      <c r="Q81" s="213"/>
      <c r="R81" s="212"/>
      <c r="S81" s="548" t="s">
        <v>1082</v>
      </c>
      <c r="T81" s="214"/>
    </row>
    <row r="82" spans="1:20" ht="16.5">
      <c r="A82" s="1019"/>
      <c r="B82" s="1021"/>
      <c r="D82" s="552" t="s">
        <v>1168</v>
      </c>
      <c r="E82" s="552" t="s">
        <v>1168</v>
      </c>
      <c r="F82" s="551" t="s">
        <v>241</v>
      </c>
      <c r="G82" s="107"/>
      <c r="H82" s="47"/>
      <c r="I82" s="107"/>
      <c r="J82" s="47"/>
      <c r="K82" s="107"/>
      <c r="L82" s="107"/>
      <c r="M82" s="107"/>
      <c r="N82" s="107">
        <v>0.14346732185094452</v>
      </c>
      <c r="O82" s="548" t="s">
        <v>1084</v>
      </c>
      <c r="P82" s="107"/>
      <c r="Q82" s="107"/>
      <c r="R82" s="47"/>
      <c r="S82" s="548" t="s">
        <v>1082</v>
      </c>
      <c r="T82" s="102"/>
    </row>
    <row r="83" spans="1:20" ht="16.5">
      <c r="A83" s="1019"/>
      <c r="B83" s="1021"/>
      <c r="D83" s="552" t="s">
        <v>1169</v>
      </c>
      <c r="E83" s="552" t="s">
        <v>1169</v>
      </c>
      <c r="F83" s="551" t="s">
        <v>241</v>
      </c>
      <c r="G83" s="107"/>
      <c r="H83" s="47"/>
      <c r="I83" s="107"/>
      <c r="J83" s="47"/>
      <c r="K83" s="107"/>
      <c r="L83" s="107"/>
      <c r="M83" s="107"/>
      <c r="N83" s="107">
        <v>0.56880547185516861</v>
      </c>
      <c r="O83" s="548" t="s">
        <v>1084</v>
      </c>
      <c r="P83" s="107"/>
      <c r="Q83" s="107"/>
      <c r="R83" s="47"/>
      <c r="S83" s="548" t="s">
        <v>1082</v>
      </c>
      <c r="T83" s="102"/>
    </row>
    <row r="84" spans="1:20" ht="16.5">
      <c r="A84" s="1019"/>
      <c r="B84" s="1021"/>
      <c r="D84" s="552" t="s">
        <v>1170</v>
      </c>
      <c r="E84" s="552" t="s">
        <v>1170</v>
      </c>
      <c r="F84" s="551" t="s">
        <v>241</v>
      </c>
      <c r="G84" s="107"/>
      <c r="H84" s="47"/>
      <c r="I84" s="107"/>
      <c r="J84" s="47"/>
      <c r="K84" s="107"/>
      <c r="L84" s="107"/>
      <c r="M84" s="107"/>
      <c r="N84" s="107">
        <v>0.11032120467372879</v>
      </c>
      <c r="O84" s="548" t="s">
        <v>1084</v>
      </c>
      <c r="P84" s="107"/>
      <c r="Q84" s="107"/>
      <c r="R84" s="47"/>
      <c r="S84" s="548" t="s">
        <v>1082</v>
      </c>
      <c r="T84" s="102"/>
    </row>
    <row r="85" spans="1:20">
      <c r="A85" s="1019"/>
      <c r="B85" s="1021"/>
      <c r="D85" s="552" t="s">
        <v>189</v>
      </c>
      <c r="E85" s="552" t="s">
        <v>189</v>
      </c>
      <c r="F85" s="551" t="s">
        <v>241</v>
      </c>
      <c r="G85" s="107"/>
      <c r="H85" s="47"/>
      <c r="I85" s="107"/>
      <c r="J85" s="47"/>
      <c r="K85" s="107"/>
      <c r="L85" s="107"/>
      <c r="M85" s="107"/>
      <c r="N85" s="107">
        <v>7.0000000000000007E-2</v>
      </c>
      <c r="O85" s="548" t="s">
        <v>1171</v>
      </c>
      <c r="P85" s="107"/>
      <c r="Q85" s="107"/>
      <c r="R85" s="47"/>
      <c r="S85" s="548" t="s">
        <v>1085</v>
      </c>
      <c r="T85" s="102"/>
    </row>
    <row r="86" spans="1:20" ht="16.5">
      <c r="A86" s="1019"/>
      <c r="B86" s="1021"/>
      <c r="D86" s="552" t="s">
        <v>1172</v>
      </c>
      <c r="E86" s="552" t="s">
        <v>1172</v>
      </c>
      <c r="F86" s="551" t="s">
        <v>241</v>
      </c>
      <c r="G86" s="107"/>
      <c r="H86" s="47"/>
      <c r="I86" s="107"/>
      <c r="J86" s="47"/>
      <c r="K86" s="107"/>
      <c r="L86" s="107"/>
      <c r="M86" s="107"/>
      <c r="N86" s="107">
        <v>5.6065000000000004E-2</v>
      </c>
      <c r="O86" s="548" t="s">
        <v>1084</v>
      </c>
      <c r="P86" s="107"/>
      <c r="Q86" s="107"/>
      <c r="R86" s="47"/>
      <c r="S86" s="548" t="s">
        <v>1082</v>
      </c>
      <c r="T86" s="102"/>
    </row>
    <row r="87" spans="1:20" ht="16.5">
      <c r="A87" s="1019"/>
      <c r="B87" s="1021"/>
      <c r="D87" s="552" t="s">
        <v>1173</v>
      </c>
      <c r="E87" s="552" t="s">
        <v>1173</v>
      </c>
      <c r="F87" s="551" t="s">
        <v>241</v>
      </c>
      <c r="G87" s="107"/>
      <c r="H87" s="47"/>
      <c r="I87" s="107"/>
      <c r="J87" s="47"/>
      <c r="K87" s="107"/>
      <c r="L87" s="107"/>
      <c r="M87" s="107"/>
      <c r="N87" s="107">
        <v>3.8770681087215032E-3</v>
      </c>
      <c r="O87" s="548" t="s">
        <v>1084</v>
      </c>
      <c r="P87" s="107"/>
      <c r="Q87" s="107"/>
      <c r="R87" s="47"/>
      <c r="S87" s="548" t="s">
        <v>1082</v>
      </c>
      <c r="T87" s="102"/>
    </row>
    <row r="88" spans="1:20" ht="16.5">
      <c r="A88" s="1019"/>
      <c r="B88" s="1021"/>
      <c r="D88" s="361" t="s">
        <v>188</v>
      </c>
      <c r="E88" s="361" t="s">
        <v>188</v>
      </c>
      <c r="F88" s="551" t="s">
        <v>241</v>
      </c>
      <c r="G88" s="546"/>
      <c r="H88" s="361"/>
      <c r="I88" s="546"/>
      <c r="J88" s="361"/>
      <c r="K88" s="361"/>
      <c r="L88" s="361"/>
      <c r="M88" s="361"/>
      <c r="N88" s="546">
        <v>0.49803399999999998</v>
      </c>
      <c r="O88" s="548" t="s">
        <v>1084</v>
      </c>
      <c r="P88" s="361"/>
      <c r="Q88" s="361"/>
      <c r="R88" s="361"/>
      <c r="S88" s="548" t="s">
        <v>1082</v>
      </c>
      <c r="T88" s="361"/>
    </row>
    <row r="89" spans="1:20" ht="16.5">
      <c r="A89" s="1019"/>
      <c r="B89" s="1021"/>
      <c r="D89" s="552" t="s">
        <v>1174</v>
      </c>
      <c r="E89" s="552" t="s">
        <v>1174</v>
      </c>
      <c r="F89" s="551" t="s">
        <v>241</v>
      </c>
      <c r="G89" s="107"/>
      <c r="H89" s="47"/>
      <c r="I89" s="107"/>
      <c r="J89" s="47"/>
      <c r="K89" s="107"/>
      <c r="L89" s="107"/>
      <c r="M89" s="107"/>
      <c r="N89" s="107">
        <v>0.16642799999999999</v>
      </c>
      <c r="O89" s="548" t="s">
        <v>1084</v>
      </c>
      <c r="P89" s="107"/>
      <c r="Q89" s="107"/>
      <c r="R89" s="47"/>
      <c r="S89" s="548" t="s">
        <v>1082</v>
      </c>
      <c r="T89" s="507" t="s">
        <v>1175</v>
      </c>
    </row>
    <row r="90" spans="1:20" ht="16.5">
      <c r="A90" s="1019"/>
      <c r="B90" s="1021"/>
      <c r="D90" s="552" t="s">
        <v>1176</v>
      </c>
      <c r="E90" s="552" t="s">
        <v>1176</v>
      </c>
      <c r="F90" s="551" t="s">
        <v>241</v>
      </c>
      <c r="G90" s="107"/>
      <c r="H90" s="47"/>
      <c r="I90" s="107"/>
      <c r="J90" s="47"/>
      <c r="K90" s="107"/>
      <c r="L90" s="107"/>
      <c r="M90" s="107"/>
      <c r="N90" s="107">
        <v>3.4211200000000002E-3</v>
      </c>
      <c r="O90" s="548" t="s">
        <v>1084</v>
      </c>
      <c r="P90" s="107"/>
      <c r="Q90" s="107"/>
      <c r="R90" s="47"/>
      <c r="S90" s="548" t="s">
        <v>1082</v>
      </c>
      <c r="T90" s="102"/>
    </row>
    <row r="91" spans="1:20" ht="16.5">
      <c r="A91" s="1019"/>
      <c r="B91" s="1021"/>
      <c r="D91" s="552" t="s">
        <v>1177</v>
      </c>
      <c r="E91" s="552" t="s">
        <v>1177</v>
      </c>
      <c r="F91" s="551" t="s">
        <v>241</v>
      </c>
      <c r="G91" s="107"/>
      <c r="H91" s="47"/>
      <c r="I91" s="107"/>
      <c r="J91" s="47"/>
      <c r="K91" s="107"/>
      <c r="L91" s="107"/>
      <c r="M91" s="107"/>
      <c r="N91" s="107">
        <v>9.1859999999999997E-3</v>
      </c>
      <c r="O91" s="548" t="s">
        <v>1084</v>
      </c>
      <c r="P91" s="107"/>
      <c r="Q91" s="107"/>
      <c r="R91" s="47"/>
      <c r="S91" s="548" t="s">
        <v>1082</v>
      </c>
      <c r="T91" s="102"/>
    </row>
    <row r="92" spans="1:20" ht="16.5">
      <c r="A92" s="1019"/>
      <c r="B92" s="1021"/>
      <c r="D92" s="552" t="s">
        <v>1178</v>
      </c>
      <c r="E92" s="552" t="s">
        <v>1178</v>
      </c>
      <c r="F92" s="551" t="s">
        <v>241</v>
      </c>
      <c r="G92" s="107"/>
      <c r="H92" s="47"/>
      <c r="I92" s="107"/>
      <c r="J92" s="47"/>
      <c r="K92" s="107"/>
      <c r="L92" s="107"/>
      <c r="M92" s="107"/>
      <c r="N92" s="107">
        <v>1.6742E-2</v>
      </c>
      <c r="O92" s="548" t="s">
        <v>1084</v>
      </c>
      <c r="P92" s="107"/>
      <c r="Q92" s="107"/>
      <c r="R92" s="47"/>
      <c r="S92" s="548" t="s">
        <v>1082</v>
      </c>
      <c r="T92" s="102"/>
    </row>
    <row r="93" spans="1:20">
      <c r="A93" s="1019"/>
      <c r="B93" s="1021"/>
    </row>
    <row r="94" spans="1:20">
      <c r="A94" s="1019"/>
      <c r="B94" s="1021"/>
      <c r="D94" s="550"/>
      <c r="E94" s="547" t="s">
        <v>1066</v>
      </c>
      <c r="F94" s="11"/>
      <c r="G94" s="108"/>
      <c r="H94" s="11"/>
      <c r="I94" s="108"/>
      <c r="J94" s="11"/>
      <c r="K94" s="108"/>
      <c r="L94" s="108"/>
      <c r="M94" s="108"/>
      <c r="N94" s="108"/>
      <c r="O94" s="11"/>
      <c r="P94" s="108"/>
      <c r="Q94" s="108"/>
      <c r="R94" s="11"/>
      <c r="S94" s="11"/>
      <c r="T94" s="11"/>
    </row>
    <row r="95" spans="1:20">
      <c r="A95" s="1019"/>
      <c r="B95" s="1021"/>
      <c r="D95" s="550"/>
      <c r="E95" s="547" t="s">
        <v>1066</v>
      </c>
      <c r="F95" s="11"/>
      <c r="G95" s="108"/>
      <c r="H95" s="11"/>
      <c r="I95" s="108"/>
      <c r="J95" s="11"/>
      <c r="K95" s="108"/>
      <c r="L95" s="108"/>
      <c r="M95" s="108"/>
      <c r="N95" s="108"/>
      <c r="O95" s="11"/>
      <c r="P95" s="108"/>
      <c r="Q95" s="108"/>
      <c r="R95" s="11"/>
      <c r="S95" s="11"/>
      <c r="T95" s="11"/>
    </row>
    <row r="96" spans="1:20">
      <c r="A96" s="1019"/>
      <c r="B96" s="1021"/>
      <c r="D96" s="550"/>
      <c r="E96" s="547" t="s">
        <v>1066</v>
      </c>
      <c r="F96" s="11"/>
      <c r="G96" s="108"/>
      <c r="H96" s="11"/>
      <c r="I96" s="108"/>
      <c r="J96" s="11"/>
      <c r="K96" s="108"/>
      <c r="L96" s="108"/>
      <c r="M96" s="108"/>
      <c r="N96" s="108"/>
      <c r="O96" s="11"/>
      <c r="P96" s="108"/>
      <c r="Q96" s="108"/>
      <c r="R96" s="11"/>
      <c r="S96" s="11"/>
      <c r="T96" s="11"/>
    </row>
    <row r="97" spans="1:20">
      <c r="A97" s="1019"/>
      <c r="B97" s="1021"/>
      <c r="D97" s="550"/>
      <c r="E97" s="547" t="s">
        <v>1066</v>
      </c>
      <c r="F97" s="11"/>
      <c r="G97" s="108"/>
      <c r="H97" s="11"/>
      <c r="I97" s="108"/>
      <c r="J97" s="11"/>
      <c r="K97" s="108"/>
      <c r="L97" s="108"/>
      <c r="M97" s="108"/>
      <c r="N97" s="108"/>
      <c r="O97" s="11"/>
      <c r="P97" s="108"/>
      <c r="Q97" s="108"/>
      <c r="R97" s="11"/>
      <c r="S97" s="11"/>
      <c r="T97" s="11"/>
    </row>
    <row r="98" spans="1:20">
      <c r="A98" s="1019"/>
      <c r="B98" s="1021"/>
      <c r="D98" s="550"/>
      <c r="E98" s="547" t="s">
        <v>1066</v>
      </c>
      <c r="F98" s="11"/>
      <c r="G98" s="108"/>
      <c r="H98" s="11"/>
      <c r="I98" s="108"/>
      <c r="J98" s="11"/>
      <c r="K98" s="108"/>
      <c r="L98" s="108"/>
      <c r="M98" s="108"/>
      <c r="N98" s="108"/>
      <c r="O98" s="11"/>
      <c r="P98" s="108"/>
      <c r="Q98" s="108"/>
      <c r="R98" s="11"/>
      <c r="S98" s="11"/>
      <c r="T98" s="11"/>
    </row>
    <row r="99" spans="1:20">
      <c r="A99" s="1019"/>
      <c r="B99" s="1021"/>
      <c r="D99" s="550"/>
      <c r="E99" s="547" t="s">
        <v>1066</v>
      </c>
      <c r="F99" s="11"/>
      <c r="G99" s="108"/>
      <c r="H99" s="11"/>
      <c r="I99" s="108"/>
      <c r="J99" s="11"/>
      <c r="K99" s="108"/>
      <c r="L99" s="108"/>
      <c r="M99" s="108"/>
      <c r="N99" s="108"/>
      <c r="O99" s="11"/>
      <c r="P99" s="108"/>
      <c r="Q99" s="108"/>
      <c r="R99" s="11"/>
      <c r="S99" s="11"/>
      <c r="T99" s="11"/>
    </row>
    <row r="100" spans="1:20">
      <c r="A100" s="1019"/>
      <c r="B100" s="1021"/>
      <c r="D100" s="550"/>
      <c r="E100" s="547" t="s">
        <v>1066</v>
      </c>
      <c r="F100" s="11"/>
      <c r="G100" s="108"/>
      <c r="H100" s="11"/>
      <c r="I100" s="108"/>
      <c r="J100" s="11"/>
      <c r="K100" s="108"/>
      <c r="L100" s="108"/>
      <c r="M100" s="108"/>
      <c r="N100" s="108"/>
      <c r="O100" s="11"/>
      <c r="P100" s="108"/>
      <c r="Q100" s="108"/>
      <c r="R100" s="11"/>
      <c r="S100" s="11"/>
      <c r="T100" s="11"/>
    </row>
    <row r="101" spans="1:20">
      <c r="A101" s="1019"/>
      <c r="B101" s="1021"/>
      <c r="D101" s="550"/>
      <c r="E101" s="547" t="s">
        <v>1066</v>
      </c>
      <c r="F101" s="11"/>
      <c r="G101" s="108"/>
      <c r="H101" s="11"/>
      <c r="I101" s="108"/>
      <c r="J101" s="11"/>
      <c r="K101" s="108"/>
      <c r="L101" s="108"/>
      <c r="M101" s="108"/>
      <c r="N101" s="108"/>
      <c r="O101" s="11"/>
      <c r="P101" s="108"/>
      <c r="Q101" s="108"/>
      <c r="R101" s="11"/>
      <c r="S101" s="11"/>
      <c r="T101" s="11"/>
    </row>
    <row r="102" spans="1:20">
      <c r="A102" s="1019"/>
      <c r="B102" s="1021"/>
      <c r="D102" s="550"/>
      <c r="E102" s="547" t="s">
        <v>1066</v>
      </c>
      <c r="F102" s="11"/>
      <c r="G102" s="108"/>
      <c r="H102" s="11"/>
      <c r="I102" s="108"/>
      <c r="J102" s="11"/>
      <c r="K102" s="108"/>
      <c r="L102" s="108"/>
      <c r="M102" s="108"/>
      <c r="N102" s="108"/>
      <c r="O102" s="11"/>
      <c r="P102" s="108"/>
      <c r="Q102" s="108"/>
      <c r="R102" s="11"/>
      <c r="S102" s="11"/>
      <c r="T102" s="11"/>
    </row>
    <row r="103" spans="1:20">
      <c r="A103" s="1019"/>
      <c r="B103" s="1021"/>
      <c r="D103" s="550"/>
      <c r="E103" s="547" t="s">
        <v>1066</v>
      </c>
      <c r="F103" s="11"/>
      <c r="G103" s="108"/>
      <c r="H103" s="11"/>
      <c r="I103" s="108"/>
      <c r="J103" s="11"/>
      <c r="K103" s="108"/>
      <c r="L103" s="108"/>
      <c r="M103" s="108"/>
      <c r="N103" s="108"/>
      <c r="O103" s="11"/>
      <c r="P103" s="108"/>
      <c r="Q103" s="108"/>
      <c r="R103" s="11"/>
      <c r="S103" s="11"/>
      <c r="T103" s="11"/>
    </row>
    <row r="104" spans="1:20">
      <c r="B104" s="109"/>
      <c r="D104" s="47"/>
      <c r="E104" s="47"/>
      <c r="F104" s="47"/>
      <c r="G104" s="107"/>
      <c r="H104" s="47"/>
      <c r="I104" s="107"/>
      <c r="J104" s="47"/>
      <c r="K104" s="107"/>
      <c r="L104" s="107"/>
      <c r="M104" s="107"/>
      <c r="N104" s="107"/>
      <c r="O104" s="47"/>
      <c r="P104" s="107"/>
      <c r="Q104" s="107"/>
      <c r="R104" s="47"/>
      <c r="S104" s="47"/>
      <c r="T104" s="102"/>
    </row>
    <row r="105" spans="1:20">
      <c r="A105" s="1018" t="s">
        <v>1848</v>
      </c>
      <c r="B105" s="1018"/>
      <c r="D105" s="361" t="s">
        <v>251</v>
      </c>
      <c r="E105" s="361" t="s">
        <v>383</v>
      </c>
      <c r="F105" s="553" t="s">
        <v>1179</v>
      </c>
      <c r="G105" s="361" t="s">
        <v>1069</v>
      </c>
      <c r="H105" s="361" t="s">
        <v>228</v>
      </c>
      <c r="I105" s="361" t="s">
        <v>1070</v>
      </c>
      <c r="J105" s="361" t="s">
        <v>415</v>
      </c>
      <c r="K105" s="361" t="s">
        <v>1071</v>
      </c>
      <c r="L105" s="361" t="s">
        <v>1072</v>
      </c>
      <c r="M105" s="361" t="s">
        <v>411</v>
      </c>
      <c r="N105" s="361" t="s">
        <v>362</v>
      </c>
      <c r="O105" s="361" t="s">
        <v>1073</v>
      </c>
      <c r="P105" s="361" t="s">
        <v>1074</v>
      </c>
      <c r="Q105" s="361" t="s">
        <v>1110</v>
      </c>
      <c r="R105" s="361" t="s">
        <v>1076</v>
      </c>
      <c r="S105" s="361" t="s">
        <v>229</v>
      </c>
      <c r="T105" s="553" t="s">
        <v>417</v>
      </c>
    </row>
    <row r="106" spans="1:20" ht="14.65" hidden="1" customHeight="1">
      <c r="A106" s="1018"/>
      <c r="B106" s="1018"/>
      <c r="D106" s="361" t="s">
        <v>128</v>
      </c>
      <c r="E106" s="361" t="s">
        <v>128</v>
      </c>
      <c r="F106" s="554"/>
      <c r="G106" s="361"/>
      <c r="H106" s="361"/>
      <c r="I106" s="361"/>
      <c r="J106" s="361"/>
      <c r="K106" s="361"/>
      <c r="L106" s="361"/>
      <c r="M106" s="361"/>
      <c r="N106" s="546"/>
      <c r="O106" s="361"/>
      <c r="P106" s="546"/>
      <c r="Q106" s="361"/>
      <c r="R106" s="361"/>
      <c r="S106" s="361"/>
      <c r="T106" s="361"/>
    </row>
    <row r="107" spans="1:20" ht="14.65" hidden="1" customHeight="1">
      <c r="A107" s="1018"/>
      <c r="B107" s="1018"/>
      <c r="D107" s="966" t="s">
        <v>1849</v>
      </c>
      <c r="E107" s="966" t="s">
        <v>1849</v>
      </c>
      <c r="F107" s="554"/>
      <c r="G107" s="361"/>
      <c r="H107" s="361"/>
      <c r="I107" s="361"/>
      <c r="J107" s="361"/>
      <c r="K107" s="361"/>
      <c r="L107" s="361"/>
      <c r="M107" s="361"/>
      <c r="N107" s="546"/>
      <c r="O107" s="361"/>
      <c r="P107" s="546"/>
      <c r="Q107" s="361"/>
      <c r="R107" s="361"/>
      <c r="S107" s="361"/>
      <c r="T107" s="361"/>
    </row>
    <row r="108" spans="1:20" ht="14.65" customHeight="1">
      <c r="A108" s="1018"/>
      <c r="B108" s="1018"/>
      <c r="D108" s="842" t="s">
        <v>1770</v>
      </c>
      <c r="E108" s="361" t="s">
        <v>1180</v>
      </c>
      <c r="F108" s="361" t="s">
        <v>1181</v>
      </c>
      <c r="G108" s="361"/>
      <c r="H108" s="361"/>
      <c r="I108" s="361"/>
      <c r="J108" s="361"/>
      <c r="K108" s="361"/>
      <c r="L108" s="361"/>
      <c r="M108" s="361"/>
      <c r="N108" s="546">
        <v>4.623066E-2</v>
      </c>
      <c r="O108" s="361" t="s">
        <v>1182</v>
      </c>
      <c r="P108" s="546"/>
      <c r="Q108" s="361"/>
      <c r="R108" s="361"/>
      <c r="S108" s="361" t="s">
        <v>1082</v>
      </c>
      <c r="T108" s="361" t="s">
        <v>1183</v>
      </c>
    </row>
    <row r="109" spans="1:20">
      <c r="A109" s="1018"/>
      <c r="B109" s="1018"/>
      <c r="D109" s="842" t="s">
        <v>1769</v>
      </c>
      <c r="E109" s="361" t="s">
        <v>1184</v>
      </c>
      <c r="F109" s="361" t="s">
        <v>1185</v>
      </c>
      <c r="G109" s="361"/>
      <c r="H109" s="361"/>
      <c r="I109" s="361"/>
      <c r="J109" s="361"/>
      <c r="K109" s="546">
        <v>24.42</v>
      </c>
      <c r="L109" s="546">
        <v>0.86899999999999999</v>
      </c>
      <c r="M109" s="546">
        <v>2670.8</v>
      </c>
      <c r="N109" s="546">
        <v>2.8090000000000002</v>
      </c>
      <c r="O109" s="361" t="s">
        <v>1186</v>
      </c>
      <c r="P109" s="546">
        <v>23.21</v>
      </c>
      <c r="Q109" s="546">
        <v>25.36</v>
      </c>
      <c r="R109" s="361" t="s">
        <v>1187</v>
      </c>
      <c r="S109" s="361" t="s">
        <v>1188</v>
      </c>
      <c r="T109"/>
    </row>
    <row r="110" spans="1:20">
      <c r="A110" s="1018"/>
      <c r="B110" s="1018"/>
      <c r="D110" s="842" t="s">
        <v>1744</v>
      </c>
      <c r="E110" s="361" t="s">
        <v>1189</v>
      </c>
      <c r="F110" s="361" t="s">
        <v>1181</v>
      </c>
      <c r="G110" s="361"/>
      <c r="H110" s="361"/>
      <c r="I110" s="361"/>
      <c r="J110" s="361"/>
      <c r="K110" s="546">
        <v>0.12</v>
      </c>
      <c r="L110" s="546">
        <v>4.0000000000000001E-3</v>
      </c>
      <c r="M110" s="546">
        <v>13.6</v>
      </c>
      <c r="N110" s="546">
        <v>1.44E-2</v>
      </c>
      <c r="O110" s="361" t="s">
        <v>1182</v>
      </c>
      <c r="P110" s="546">
        <v>0.11</v>
      </c>
      <c r="Q110" s="546">
        <v>0.13</v>
      </c>
      <c r="R110" s="361" t="s">
        <v>1190</v>
      </c>
      <c r="S110" s="361" t="s">
        <v>1188</v>
      </c>
      <c r="T110"/>
    </row>
    <row r="111" spans="1:20">
      <c r="A111" s="1018"/>
      <c r="B111" s="1018"/>
      <c r="C111" s="4"/>
      <c r="D111" s="842" t="s">
        <v>1745</v>
      </c>
      <c r="E111" s="361" t="s">
        <v>1191</v>
      </c>
      <c r="F111" s="361" t="s">
        <v>1185</v>
      </c>
      <c r="G111" s="361"/>
      <c r="H111" s="361"/>
      <c r="I111" s="361"/>
      <c r="J111" s="361"/>
      <c r="K111" s="546">
        <v>12.9</v>
      </c>
      <c r="L111" s="546">
        <v>0.45100000000000001</v>
      </c>
      <c r="M111" s="546">
        <v>1497.1</v>
      </c>
      <c r="N111" s="546">
        <v>1.5865</v>
      </c>
      <c r="O111" s="361" t="s">
        <v>1186</v>
      </c>
      <c r="P111" s="546">
        <v>12.43</v>
      </c>
      <c r="Q111" s="546">
        <v>14.3</v>
      </c>
      <c r="R111" s="361" t="s">
        <v>1187</v>
      </c>
      <c r="S111" s="361" t="s">
        <v>1188</v>
      </c>
      <c r="T111"/>
    </row>
    <row r="112" spans="1:20">
      <c r="A112" s="1018"/>
      <c r="B112" s="1018"/>
      <c r="C112" s="4"/>
      <c r="D112" s="361" t="s">
        <v>1192</v>
      </c>
      <c r="E112" s="361" t="s">
        <v>1193</v>
      </c>
      <c r="F112" s="361" t="s">
        <v>1181</v>
      </c>
      <c r="G112" s="361"/>
      <c r="H112" s="361"/>
      <c r="I112" s="361"/>
      <c r="J112" s="361"/>
      <c r="K112" s="546">
        <v>0.14000000000000001</v>
      </c>
      <c r="L112" s="546">
        <v>1.7000000000000001E-2</v>
      </c>
      <c r="M112" s="546">
        <v>90.1</v>
      </c>
      <c r="N112" s="546">
        <v>9.5899999999999999E-2</v>
      </c>
      <c r="O112" s="361" t="s">
        <v>1182</v>
      </c>
      <c r="P112" s="546">
        <v>0.18</v>
      </c>
      <c r="Q112" s="546">
        <v>0.5</v>
      </c>
      <c r="R112" s="361" t="s">
        <v>1190</v>
      </c>
      <c r="S112" s="361" t="s">
        <v>1188</v>
      </c>
      <c r="T112"/>
    </row>
    <row r="113" spans="1:20">
      <c r="A113" s="1018"/>
      <c r="B113" s="1018"/>
      <c r="C113" s="4"/>
      <c r="D113" s="361" t="s">
        <v>1194</v>
      </c>
      <c r="E113" s="361" t="s">
        <v>1195</v>
      </c>
      <c r="F113" s="361" t="s">
        <v>1185</v>
      </c>
      <c r="G113" s="361"/>
      <c r="H113" s="361"/>
      <c r="I113" s="361"/>
      <c r="J113" s="361"/>
      <c r="K113" s="546">
        <v>0.16</v>
      </c>
      <c r="L113" s="546">
        <v>0.02</v>
      </c>
      <c r="M113" s="546">
        <v>103.4</v>
      </c>
      <c r="N113" s="546">
        <v>0.11009999999999999</v>
      </c>
      <c r="O113" s="361" t="s">
        <v>1186</v>
      </c>
      <c r="P113" s="546">
        <v>0.21</v>
      </c>
      <c r="Q113" s="546">
        <v>0.56999999999999995</v>
      </c>
      <c r="R113" s="361" t="s">
        <v>1187</v>
      </c>
      <c r="S113" s="361" t="s">
        <v>1188</v>
      </c>
      <c r="T113" s="361"/>
    </row>
    <row r="114" spans="1:20">
      <c r="A114" s="1018"/>
      <c r="B114" s="1018"/>
      <c r="C114" s="4"/>
      <c r="D114" s="361" t="s">
        <v>1196</v>
      </c>
      <c r="E114" s="361" t="s">
        <v>1197</v>
      </c>
      <c r="F114" s="361" t="s">
        <v>1181</v>
      </c>
      <c r="G114" s="361"/>
      <c r="H114" s="361"/>
      <c r="I114" s="361"/>
      <c r="J114" s="361"/>
      <c r="K114" s="546">
        <v>0.12</v>
      </c>
      <c r="L114" s="546">
        <v>1.7000000000000001E-2</v>
      </c>
      <c r="M114" s="546">
        <v>78.900000000000006</v>
      </c>
      <c r="N114" s="546">
        <v>8.4500000000000006E-2</v>
      </c>
      <c r="O114" s="361" t="s">
        <v>1182</v>
      </c>
      <c r="P114" s="546">
        <v>0.18</v>
      </c>
      <c r="Q114" s="546">
        <v>0.45</v>
      </c>
      <c r="R114" s="361" t="s">
        <v>1190</v>
      </c>
      <c r="S114" s="361" t="s">
        <v>1188</v>
      </c>
      <c r="T114" s="361"/>
    </row>
    <row r="115" spans="1:20">
      <c r="A115" s="1018"/>
      <c r="B115" s="1018"/>
      <c r="C115" s="4"/>
      <c r="D115" s="361" t="s">
        <v>1198</v>
      </c>
      <c r="E115" s="361" t="s">
        <v>1199</v>
      </c>
      <c r="F115" s="361" t="s">
        <v>1185</v>
      </c>
      <c r="G115" s="361"/>
      <c r="H115" s="361"/>
      <c r="I115" s="361"/>
      <c r="J115" s="361"/>
      <c r="K115" s="546">
        <v>0.14000000000000001</v>
      </c>
      <c r="L115" s="546">
        <v>1.9E-2</v>
      </c>
      <c r="M115" s="546">
        <v>90.6</v>
      </c>
      <c r="N115" s="546">
        <v>9.7000000000000003E-2</v>
      </c>
      <c r="O115" s="361" t="s">
        <v>1186</v>
      </c>
      <c r="P115" s="546">
        <v>0.21</v>
      </c>
      <c r="Q115" s="546">
        <v>0.52</v>
      </c>
      <c r="R115" s="361" t="s">
        <v>1187</v>
      </c>
      <c r="S115" s="361" t="s">
        <v>1188</v>
      </c>
      <c r="T115" s="361"/>
    </row>
    <row r="116" spans="1:20">
      <c r="A116" s="1018"/>
      <c r="B116" s="1018"/>
      <c r="C116" s="4"/>
      <c r="D116" s="842" t="s">
        <v>1746</v>
      </c>
      <c r="E116" s="361" t="s">
        <v>1200</v>
      </c>
      <c r="F116" s="361" t="s">
        <v>1181</v>
      </c>
      <c r="G116" s="361"/>
      <c r="H116" s="361"/>
      <c r="I116" s="361"/>
      <c r="J116" s="361"/>
      <c r="K116" s="546">
        <v>0.1</v>
      </c>
      <c r="L116" s="546">
        <v>1.7000000000000001E-2</v>
      </c>
      <c r="M116" s="546">
        <v>47.6</v>
      </c>
      <c r="N116" s="546">
        <v>5.16E-2</v>
      </c>
      <c r="O116" s="361" t="s">
        <v>1182</v>
      </c>
      <c r="P116" s="546">
        <v>0.18</v>
      </c>
      <c r="Q116" s="546">
        <v>0.43</v>
      </c>
      <c r="R116" s="361" t="s">
        <v>1190</v>
      </c>
      <c r="S116" s="361" t="s">
        <v>1188</v>
      </c>
      <c r="T116" s="361"/>
    </row>
    <row r="117" spans="1:20">
      <c r="A117" s="1018"/>
      <c r="B117" s="1018"/>
      <c r="C117" s="4"/>
      <c r="D117" s="842" t="s">
        <v>1747</v>
      </c>
      <c r="E117" s="361" t="s">
        <v>1201</v>
      </c>
      <c r="F117" s="361" t="s">
        <v>1185</v>
      </c>
      <c r="G117" s="361"/>
      <c r="H117" s="361"/>
      <c r="I117" s="361"/>
      <c r="J117" s="361"/>
      <c r="K117" s="546">
        <v>0.11</v>
      </c>
      <c r="L117" s="546">
        <v>1.9E-2</v>
      </c>
      <c r="M117" s="546">
        <v>54.7</v>
      </c>
      <c r="N117" s="546">
        <v>5.9299999999999999E-2</v>
      </c>
      <c r="O117" s="361" t="s">
        <v>1186</v>
      </c>
      <c r="P117" s="546">
        <v>0.21</v>
      </c>
      <c r="Q117" s="546">
        <v>0.49</v>
      </c>
      <c r="R117" s="361" t="s">
        <v>1187</v>
      </c>
      <c r="S117" s="361" t="s">
        <v>1188</v>
      </c>
      <c r="T117" s="361"/>
    </row>
    <row r="118" spans="1:20">
      <c r="A118" s="1018"/>
      <c r="B118" s="1018"/>
      <c r="C118" s="4"/>
      <c r="D118" s="842" t="s">
        <v>1748</v>
      </c>
      <c r="E118" s="361" t="s">
        <v>1202</v>
      </c>
      <c r="F118" s="361" t="s">
        <v>1185</v>
      </c>
      <c r="G118" s="361"/>
      <c r="H118" s="361"/>
      <c r="I118" s="361"/>
      <c r="J118" s="361"/>
      <c r="K118" s="546"/>
      <c r="L118" s="546"/>
      <c r="M118" s="546"/>
      <c r="N118" s="546">
        <v>6.1919999999999996E-2</v>
      </c>
      <c r="O118" s="361" t="s">
        <v>1186</v>
      </c>
      <c r="P118" s="546"/>
      <c r="Q118" s="546">
        <v>1.2</v>
      </c>
      <c r="R118" s="361" t="s">
        <v>1187</v>
      </c>
      <c r="S118" s="361" t="s">
        <v>1203</v>
      </c>
      <c r="T118" s="361"/>
    </row>
    <row r="119" spans="1:20">
      <c r="A119" s="1018"/>
      <c r="B119" s="1018"/>
      <c r="C119" s="4"/>
      <c r="D119" s="842" t="s">
        <v>1749</v>
      </c>
      <c r="E119" s="361" t="s">
        <v>1204</v>
      </c>
      <c r="F119" s="361" t="s">
        <v>1185</v>
      </c>
      <c r="G119" s="361"/>
      <c r="H119" s="361"/>
      <c r="I119" s="361"/>
      <c r="J119" s="361"/>
      <c r="K119" s="546"/>
      <c r="L119" s="546"/>
      <c r="M119" s="546"/>
      <c r="N119" s="546">
        <v>0.22</v>
      </c>
      <c r="O119" s="361" t="s">
        <v>1186</v>
      </c>
      <c r="P119" s="546"/>
      <c r="Q119" s="546">
        <v>1.2</v>
      </c>
      <c r="R119" s="361" t="s">
        <v>1187</v>
      </c>
      <c r="S119" s="361" t="s">
        <v>1203</v>
      </c>
      <c r="T119" s="361"/>
    </row>
    <row r="120" spans="1:20">
      <c r="A120" s="1018"/>
      <c r="B120" s="1018"/>
      <c r="C120" s="4"/>
      <c r="D120" s="361" t="s">
        <v>1205</v>
      </c>
      <c r="E120" s="361" t="s">
        <v>1206</v>
      </c>
      <c r="F120" s="361" t="s">
        <v>458</v>
      </c>
      <c r="G120" s="361">
        <v>0.186</v>
      </c>
      <c r="H120" s="361" t="s">
        <v>1207</v>
      </c>
      <c r="I120" s="361"/>
      <c r="J120" s="361"/>
      <c r="K120" s="361"/>
      <c r="L120" s="361"/>
      <c r="M120" s="361"/>
      <c r="N120" s="546">
        <v>0.57193158600000005</v>
      </c>
      <c r="O120" s="361" t="s">
        <v>1208</v>
      </c>
      <c r="P120" s="546"/>
      <c r="Q120" s="361"/>
      <c r="R120" s="361"/>
      <c r="S120" s="361" t="s">
        <v>1209</v>
      </c>
      <c r="T120" s="361"/>
    </row>
    <row r="121" spans="1:20">
      <c r="A121" s="1018"/>
      <c r="B121" s="1018"/>
      <c r="C121" s="4"/>
      <c r="D121" s="361" t="s">
        <v>1210</v>
      </c>
      <c r="E121" s="361" t="s">
        <v>1211</v>
      </c>
      <c r="F121" s="361" t="s">
        <v>458</v>
      </c>
      <c r="G121" s="361">
        <v>0.56889800000000001</v>
      </c>
      <c r="H121" s="361" t="s">
        <v>1207</v>
      </c>
      <c r="I121" s="361"/>
      <c r="J121" s="361"/>
      <c r="K121" s="546"/>
      <c r="L121" s="546"/>
      <c r="M121" s="546"/>
      <c r="N121" s="546">
        <v>1.7493050290980001</v>
      </c>
      <c r="O121" s="361" t="s">
        <v>1208</v>
      </c>
      <c r="P121" s="546"/>
      <c r="Q121" s="361"/>
      <c r="R121" s="361"/>
      <c r="S121" s="361" t="s">
        <v>1209</v>
      </c>
      <c r="T121" s="361"/>
    </row>
    <row r="122" spans="1:20">
      <c r="A122" s="1018"/>
      <c r="B122" s="1018"/>
      <c r="C122" s="4"/>
      <c r="D122" s="842" t="s">
        <v>1739</v>
      </c>
      <c r="E122" s="361" t="s">
        <v>1212</v>
      </c>
      <c r="F122" s="361" t="s">
        <v>1181</v>
      </c>
      <c r="G122" s="361"/>
      <c r="H122" s="361"/>
      <c r="I122" s="361"/>
      <c r="J122" s="361"/>
      <c r="K122" s="546">
        <v>0.77</v>
      </c>
      <c r="L122" s="546">
        <v>5.3999999999999999E-2</v>
      </c>
      <c r="M122" s="546">
        <v>171.1</v>
      </c>
      <c r="N122" s="546">
        <v>0.41489999999999999</v>
      </c>
      <c r="O122" s="361" t="s">
        <v>1182</v>
      </c>
      <c r="P122" s="546">
        <v>0.54</v>
      </c>
      <c r="Q122" s="546">
        <v>0.6</v>
      </c>
      <c r="R122" s="361" t="s">
        <v>1190</v>
      </c>
      <c r="S122" s="361" t="s">
        <v>1188</v>
      </c>
      <c r="T122" s="361"/>
    </row>
    <row r="123" spans="1:20">
      <c r="A123" s="1018"/>
      <c r="B123" s="1018"/>
      <c r="C123" s="4"/>
      <c r="D123" s="842" t="s">
        <v>1750</v>
      </c>
      <c r="E123" s="361" t="s">
        <v>1213</v>
      </c>
      <c r="F123" s="361" t="s">
        <v>1185</v>
      </c>
      <c r="G123" s="361"/>
      <c r="H123" s="361"/>
      <c r="I123" s="361"/>
      <c r="J123" s="361"/>
      <c r="K123" s="546">
        <v>73.680000000000007</v>
      </c>
      <c r="L123" s="546">
        <v>5132</v>
      </c>
      <c r="M123" s="546">
        <v>16341.1</v>
      </c>
      <c r="N123" s="546">
        <v>39.623100000000001</v>
      </c>
      <c r="O123" s="361" t="s">
        <v>1186</v>
      </c>
      <c r="P123" s="546">
        <v>51.33</v>
      </c>
      <c r="Q123" s="546">
        <v>57.45</v>
      </c>
      <c r="R123" s="361" t="s">
        <v>1187</v>
      </c>
      <c r="S123" s="361" t="s">
        <v>1188</v>
      </c>
      <c r="T123" s="361"/>
    </row>
    <row r="124" spans="1:20">
      <c r="A124" s="1018"/>
      <c r="B124" s="1018"/>
      <c r="C124" s="4"/>
      <c r="D124" s="842" t="s">
        <v>1740</v>
      </c>
      <c r="E124" s="361" t="s">
        <v>1214</v>
      </c>
      <c r="F124" s="361" t="s">
        <v>1181</v>
      </c>
      <c r="G124" s="361"/>
      <c r="H124" s="361"/>
      <c r="I124" s="361"/>
      <c r="J124" s="361"/>
      <c r="K124" s="546">
        <v>1.06</v>
      </c>
      <c r="L124" s="546">
        <v>9.5000000000000001E-2</v>
      </c>
      <c r="M124" s="546">
        <v>296.60000000000002</v>
      </c>
      <c r="N124" s="546">
        <v>0.71950000000000003</v>
      </c>
      <c r="O124" s="361" t="s">
        <v>1182</v>
      </c>
      <c r="P124" s="546">
        <v>0.93</v>
      </c>
      <c r="Q124" s="546">
        <v>1.04</v>
      </c>
      <c r="R124" s="361" t="s">
        <v>1190</v>
      </c>
      <c r="S124" s="361" t="s">
        <v>1188</v>
      </c>
      <c r="T124" s="361"/>
    </row>
    <row r="125" spans="1:20">
      <c r="A125" s="1018"/>
      <c r="B125" s="1018"/>
      <c r="C125" s="4"/>
      <c r="D125" s="842" t="s">
        <v>1751</v>
      </c>
      <c r="E125" s="361" t="s">
        <v>1215</v>
      </c>
      <c r="F125" s="361" t="s">
        <v>1185</v>
      </c>
      <c r="G125" s="361"/>
      <c r="H125" s="361"/>
      <c r="I125" s="361"/>
      <c r="J125" s="361"/>
      <c r="K125" s="546">
        <v>39.92</v>
      </c>
      <c r="L125" s="546">
        <v>3596</v>
      </c>
      <c r="M125" s="546">
        <v>11213.6</v>
      </c>
      <c r="N125" s="546">
        <v>27.202900000000003</v>
      </c>
      <c r="O125" s="361" t="s">
        <v>1186</v>
      </c>
      <c r="P125" s="546">
        <v>35.229999999999997</v>
      </c>
      <c r="Q125" s="546">
        <v>39.42</v>
      </c>
      <c r="R125" s="361" t="s">
        <v>1187</v>
      </c>
      <c r="S125" s="361" t="s">
        <v>1188</v>
      </c>
      <c r="T125" s="361"/>
    </row>
    <row r="126" spans="1:20">
      <c r="A126" s="1018"/>
      <c r="B126" s="1018"/>
      <c r="C126" s="4"/>
      <c r="D126" s="842" t="s">
        <v>1741</v>
      </c>
      <c r="E126" s="361" t="s">
        <v>1216</v>
      </c>
      <c r="F126" s="361" t="s">
        <v>1181</v>
      </c>
      <c r="G126" s="361"/>
      <c r="H126" s="361"/>
      <c r="I126" s="361"/>
      <c r="J126" s="361"/>
      <c r="K126" s="546">
        <v>0.79</v>
      </c>
      <c r="L126" s="546">
        <v>5.3999999999999999E-2</v>
      </c>
      <c r="M126" s="546">
        <v>175.2</v>
      </c>
      <c r="N126" s="546">
        <v>0.42619999999999997</v>
      </c>
      <c r="O126" s="361" t="s">
        <v>1182</v>
      </c>
      <c r="P126" s="546">
        <v>0.54</v>
      </c>
      <c r="Q126" s="546">
        <v>0.6</v>
      </c>
      <c r="R126" s="361" t="s">
        <v>1190</v>
      </c>
      <c r="S126" s="361" t="s">
        <v>1188</v>
      </c>
      <c r="T126" s="361"/>
    </row>
    <row r="127" spans="1:20">
      <c r="A127" s="1018"/>
      <c r="B127" s="1018"/>
      <c r="C127" s="4"/>
      <c r="D127" s="842" t="s">
        <v>1752</v>
      </c>
      <c r="E127" s="361" t="s">
        <v>1217</v>
      </c>
      <c r="F127" s="361" t="s">
        <v>1185</v>
      </c>
      <c r="G127" s="361"/>
      <c r="H127" s="361"/>
      <c r="I127" s="361"/>
      <c r="J127" s="361"/>
      <c r="K127" s="546">
        <v>74.430000000000007</v>
      </c>
      <c r="L127" s="546">
        <v>5092</v>
      </c>
      <c r="M127" s="546">
        <v>16512.7</v>
      </c>
      <c r="N127" s="546">
        <v>40.154600000000002</v>
      </c>
      <c r="O127" s="361" t="s">
        <v>1186</v>
      </c>
      <c r="P127" s="546">
        <v>50.97</v>
      </c>
      <c r="Q127" s="546">
        <v>56.69</v>
      </c>
      <c r="R127" s="361" t="s">
        <v>1187</v>
      </c>
      <c r="S127" s="361" t="s">
        <v>1188</v>
      </c>
      <c r="T127" s="361"/>
    </row>
    <row r="128" spans="1:20">
      <c r="A128" s="1018"/>
      <c r="B128" s="1018"/>
      <c r="C128" s="4"/>
      <c r="D128" s="361" t="s">
        <v>1218</v>
      </c>
      <c r="E128" s="361" t="s">
        <v>1219</v>
      </c>
      <c r="F128" s="361" t="s">
        <v>1220</v>
      </c>
      <c r="G128" s="361"/>
      <c r="H128" s="361"/>
      <c r="I128" s="361"/>
      <c r="J128" s="361"/>
      <c r="K128" s="546"/>
      <c r="L128" s="546"/>
      <c r="M128" s="546"/>
      <c r="N128" s="546">
        <v>3.3549999999999996E-2</v>
      </c>
      <c r="O128" s="361" t="s">
        <v>1221</v>
      </c>
      <c r="P128" s="546"/>
      <c r="Q128" s="546"/>
      <c r="R128" s="361"/>
      <c r="S128" s="361" t="s">
        <v>1082</v>
      </c>
      <c r="T128" s="361" t="s">
        <v>1222</v>
      </c>
    </row>
    <row r="129" spans="1:20">
      <c r="A129" s="1018"/>
      <c r="B129" s="1018"/>
      <c r="C129" s="4"/>
      <c r="D129" s="842" t="s">
        <v>1742</v>
      </c>
      <c r="E129" s="361" t="s">
        <v>1223</v>
      </c>
      <c r="F129" s="361" t="s">
        <v>1181</v>
      </c>
      <c r="G129" s="361"/>
      <c r="H129" s="361"/>
      <c r="I129" s="361"/>
      <c r="J129" s="361"/>
      <c r="K129" s="546">
        <v>0.25</v>
      </c>
      <c r="L129" s="546">
        <v>7.0000000000000001E-3</v>
      </c>
      <c r="M129" s="546">
        <v>49.4</v>
      </c>
      <c r="N129" s="546">
        <v>5.1299999999999998E-2</v>
      </c>
      <c r="O129" s="361" t="s">
        <v>1182</v>
      </c>
      <c r="P129" s="546">
        <v>0.15</v>
      </c>
      <c r="Q129" s="546">
        <v>0.19</v>
      </c>
      <c r="R129" s="361" t="s">
        <v>1190</v>
      </c>
      <c r="S129" s="361" t="s">
        <v>1188</v>
      </c>
      <c r="T129" s="361"/>
    </row>
    <row r="130" spans="1:20">
      <c r="A130" s="1018"/>
      <c r="B130" s="1018"/>
      <c r="C130" s="4"/>
      <c r="D130" s="842" t="s">
        <v>1743</v>
      </c>
      <c r="E130" s="361" t="s">
        <v>1224</v>
      </c>
      <c r="F130" s="361" t="s">
        <v>1185</v>
      </c>
      <c r="G130" s="361"/>
      <c r="H130" s="361"/>
      <c r="I130" s="361"/>
      <c r="J130" s="361"/>
      <c r="K130" s="546">
        <v>4.74</v>
      </c>
      <c r="L130" s="546">
        <v>0.125</v>
      </c>
      <c r="M130" s="546">
        <v>929.1</v>
      </c>
      <c r="N130" s="546">
        <v>0.96450000000000002</v>
      </c>
      <c r="O130" s="361" t="s">
        <v>1186</v>
      </c>
      <c r="P130" s="546">
        <v>2.82</v>
      </c>
      <c r="Q130" s="546">
        <v>3.65</v>
      </c>
      <c r="R130" s="361" t="s">
        <v>1187</v>
      </c>
      <c r="S130" s="361" t="s">
        <v>1188</v>
      </c>
      <c r="T130" s="361"/>
    </row>
    <row r="131" spans="1:20">
      <c r="A131" s="1018"/>
      <c r="B131" s="1018"/>
      <c r="C131" s="4"/>
      <c r="D131" s="842" t="s">
        <v>1753</v>
      </c>
      <c r="E131" s="361" t="s">
        <v>1225</v>
      </c>
      <c r="F131" s="361" t="s">
        <v>1185</v>
      </c>
      <c r="G131" s="361"/>
      <c r="H131" s="361"/>
      <c r="I131" s="361"/>
      <c r="J131" s="361"/>
      <c r="K131" s="546">
        <v>2.63</v>
      </c>
      <c r="L131" s="546">
        <v>9.4E-2</v>
      </c>
      <c r="M131" s="546">
        <v>870.1</v>
      </c>
      <c r="N131" s="546">
        <v>0.90410000000000001</v>
      </c>
      <c r="O131" s="361" t="s">
        <v>1186</v>
      </c>
      <c r="P131" s="546">
        <v>2.82</v>
      </c>
      <c r="Q131" s="546">
        <v>3.49</v>
      </c>
      <c r="R131" s="361" t="s">
        <v>1187</v>
      </c>
      <c r="S131" s="361" t="s">
        <v>1188</v>
      </c>
      <c r="T131" s="361"/>
    </row>
    <row r="132" spans="1:20">
      <c r="A132" s="1018"/>
      <c r="B132" s="1018"/>
      <c r="C132" s="4"/>
      <c r="D132" s="842" t="s">
        <v>1754</v>
      </c>
      <c r="E132" s="361" t="s">
        <v>1226</v>
      </c>
      <c r="F132" s="361" t="s">
        <v>1185</v>
      </c>
      <c r="G132" s="361"/>
      <c r="H132" s="361"/>
      <c r="I132" s="361"/>
      <c r="J132" s="361"/>
      <c r="K132" s="546">
        <v>0.97</v>
      </c>
      <c r="L132" s="546">
        <v>5.3999999999999999E-2</v>
      </c>
      <c r="M132" s="546">
        <v>282.60000000000002</v>
      </c>
      <c r="N132" s="546">
        <v>0.29289999999999999</v>
      </c>
      <c r="O132" s="361" t="s">
        <v>1186</v>
      </c>
      <c r="P132" s="546">
        <v>0.83</v>
      </c>
      <c r="Q132" s="546">
        <v>1.1299999999999999</v>
      </c>
      <c r="R132" s="361" t="s">
        <v>1187</v>
      </c>
      <c r="S132" s="361" t="s">
        <v>1188</v>
      </c>
      <c r="T132" s="361"/>
    </row>
    <row r="133" spans="1:20">
      <c r="A133" s="1018"/>
      <c r="B133" s="1018"/>
      <c r="C133" s="4"/>
      <c r="D133" s="842" t="s">
        <v>1755</v>
      </c>
      <c r="E133" s="361" t="s">
        <v>1227</v>
      </c>
      <c r="F133" s="361" t="s">
        <v>1185</v>
      </c>
      <c r="G133" s="361"/>
      <c r="H133" s="361"/>
      <c r="I133" s="361"/>
      <c r="J133" s="361"/>
      <c r="K133" s="546">
        <v>2.72</v>
      </c>
      <c r="L133" s="546">
        <v>7.6999999999999999E-2</v>
      </c>
      <c r="M133" s="546">
        <v>561.1</v>
      </c>
      <c r="N133" s="546">
        <v>0.58520000000000005</v>
      </c>
      <c r="O133" s="361" t="s">
        <v>1186</v>
      </c>
      <c r="P133" s="546">
        <v>1.84</v>
      </c>
      <c r="Q133" s="546">
        <v>2.2400000000000002</v>
      </c>
      <c r="R133" s="361" t="s">
        <v>1187</v>
      </c>
      <c r="S133" s="361" t="s">
        <v>1188</v>
      </c>
      <c r="T133" s="361"/>
    </row>
    <row r="134" spans="1:20">
      <c r="A134" s="1018"/>
      <c r="B134" s="1018"/>
      <c r="C134" s="4"/>
      <c r="D134" s="842" t="s">
        <v>1756</v>
      </c>
      <c r="E134" s="361" t="s">
        <v>1228</v>
      </c>
      <c r="F134" s="361" t="s">
        <v>1185</v>
      </c>
      <c r="G134" s="361"/>
      <c r="H134" s="361"/>
      <c r="I134" s="361"/>
      <c r="J134" s="361"/>
      <c r="K134" s="546">
        <v>4.24</v>
      </c>
      <c r="L134" s="546">
        <v>0.122</v>
      </c>
      <c r="M134" s="546">
        <v>968.8</v>
      </c>
      <c r="N134" s="546">
        <v>1.0058</v>
      </c>
      <c r="O134" s="361" t="s">
        <v>1186</v>
      </c>
      <c r="P134" s="546">
        <v>3.12</v>
      </c>
      <c r="Q134" s="546">
        <v>3.89</v>
      </c>
      <c r="R134" s="361" t="s">
        <v>1187</v>
      </c>
      <c r="S134" s="361" t="s">
        <v>1188</v>
      </c>
      <c r="T134" s="361"/>
    </row>
    <row r="135" spans="1:20">
      <c r="A135" s="1018"/>
      <c r="B135" s="1018"/>
      <c r="C135" s="4"/>
      <c r="D135" s="842" t="s">
        <v>1229</v>
      </c>
      <c r="E135" s="361" t="s">
        <v>1230</v>
      </c>
      <c r="F135" s="361" t="s">
        <v>1231</v>
      </c>
      <c r="G135" s="361"/>
      <c r="H135" s="361"/>
      <c r="I135" s="361"/>
      <c r="J135" s="361"/>
      <c r="K135" s="546"/>
      <c r="L135" s="546"/>
      <c r="M135" s="546"/>
      <c r="N135" s="546">
        <v>0.58132292074060976</v>
      </c>
      <c r="O135" s="361" t="s">
        <v>1232</v>
      </c>
      <c r="P135" s="546"/>
      <c r="Q135" s="546"/>
      <c r="R135" s="361"/>
      <c r="S135" s="361" t="s">
        <v>1082</v>
      </c>
      <c r="T135" s="361"/>
    </row>
    <row r="136" spans="1:20">
      <c r="A136" s="1018"/>
      <c r="B136" s="1018"/>
      <c r="C136" s="4"/>
      <c r="D136" s="361" t="s">
        <v>1233</v>
      </c>
      <c r="E136" s="361" t="s">
        <v>1234</v>
      </c>
      <c r="F136" s="361" t="s">
        <v>1231</v>
      </c>
      <c r="G136" s="361"/>
      <c r="H136" s="361"/>
      <c r="I136" s="361"/>
      <c r="J136" s="361"/>
      <c r="K136" s="546"/>
      <c r="L136" s="546"/>
      <c r="M136" s="546"/>
      <c r="N136" s="546">
        <v>0.156</v>
      </c>
      <c r="O136" s="361" t="s">
        <v>1232</v>
      </c>
      <c r="P136" s="546"/>
      <c r="Q136" s="546"/>
      <c r="R136" s="361"/>
      <c r="S136" s="361" t="s">
        <v>1082</v>
      </c>
      <c r="T136" s="361" t="s">
        <v>1235</v>
      </c>
    </row>
    <row r="137" spans="1:20">
      <c r="A137" s="1018"/>
      <c r="B137" s="1018"/>
      <c r="C137" s="4"/>
      <c r="D137" s="361" t="s">
        <v>1236</v>
      </c>
      <c r="E137" s="361" t="s">
        <v>1237</v>
      </c>
      <c r="F137" s="361" t="s">
        <v>1181</v>
      </c>
      <c r="G137" s="361"/>
      <c r="H137" s="361"/>
      <c r="I137" s="361"/>
      <c r="J137" s="361"/>
      <c r="K137" s="546">
        <v>0.26</v>
      </c>
      <c r="L137" s="546">
        <v>2.9000000000000001E-2</v>
      </c>
      <c r="M137" s="546">
        <v>220.2</v>
      </c>
      <c r="N137" s="546">
        <v>0.2271</v>
      </c>
      <c r="O137" s="361" t="s">
        <v>1182</v>
      </c>
      <c r="P137" s="546">
        <v>0.56999999999999995</v>
      </c>
      <c r="Q137" s="546">
        <v>0.87</v>
      </c>
      <c r="R137" s="361" t="s">
        <v>1190</v>
      </c>
      <c r="S137" s="361" t="s">
        <v>1188</v>
      </c>
      <c r="T137" s="361"/>
    </row>
    <row r="138" spans="1:20">
      <c r="A138" s="1018"/>
      <c r="B138" s="1018"/>
      <c r="C138" s="4"/>
      <c r="D138" s="361" t="s">
        <v>1238</v>
      </c>
      <c r="E138" s="361" t="s">
        <v>1239</v>
      </c>
      <c r="F138" s="361" t="s">
        <v>1185</v>
      </c>
      <c r="G138" s="361"/>
      <c r="H138" s="361"/>
      <c r="I138" s="361"/>
      <c r="J138" s="361"/>
      <c r="K138" s="546">
        <v>0.28999999999999998</v>
      </c>
      <c r="L138" s="546">
        <v>3.3000000000000002E-2</v>
      </c>
      <c r="M138" s="546">
        <v>252.8</v>
      </c>
      <c r="N138" s="546">
        <v>0.26069999999999999</v>
      </c>
      <c r="O138" s="361" t="s">
        <v>1186</v>
      </c>
      <c r="P138" s="546">
        <v>0.66</v>
      </c>
      <c r="Q138" s="546">
        <v>1</v>
      </c>
      <c r="R138" s="361" t="s">
        <v>1187</v>
      </c>
      <c r="S138" s="361" t="s">
        <v>1188</v>
      </c>
      <c r="T138" s="361"/>
    </row>
    <row r="139" spans="1:20">
      <c r="A139" s="1018"/>
      <c r="B139" s="1018"/>
      <c r="C139" s="4"/>
      <c r="D139" s="361" t="s">
        <v>1240</v>
      </c>
      <c r="E139" s="361" t="s">
        <v>1241</v>
      </c>
      <c r="F139" s="361" t="s">
        <v>1181</v>
      </c>
      <c r="G139" s="361"/>
      <c r="H139" s="361"/>
      <c r="I139" s="361"/>
      <c r="J139" s="361"/>
      <c r="K139" s="546">
        <v>0.73</v>
      </c>
      <c r="L139" s="546">
        <v>0.03</v>
      </c>
      <c r="M139" s="546">
        <v>203.5</v>
      </c>
      <c r="N139" s="546">
        <v>0.21149999999999999</v>
      </c>
      <c r="O139" s="361" t="s">
        <v>1182</v>
      </c>
      <c r="P139" s="546">
        <v>0.59</v>
      </c>
      <c r="Q139" s="546">
        <v>0.81</v>
      </c>
      <c r="R139" s="361" t="s">
        <v>1190</v>
      </c>
      <c r="S139" s="361" t="s">
        <v>1188</v>
      </c>
      <c r="T139" s="361"/>
    </row>
    <row r="140" spans="1:20">
      <c r="A140" s="1018"/>
      <c r="B140" s="1018"/>
      <c r="C140" s="4"/>
      <c r="D140" s="361" t="s">
        <v>1242</v>
      </c>
      <c r="E140" s="361" t="s">
        <v>1243</v>
      </c>
      <c r="F140" s="361" t="s">
        <v>1185</v>
      </c>
      <c r="G140" s="361"/>
      <c r="H140" s="361"/>
      <c r="I140" s="361"/>
      <c r="J140" s="361"/>
      <c r="K140" s="546">
        <v>0.84</v>
      </c>
      <c r="L140" s="546">
        <v>3.5000000000000003E-2</v>
      </c>
      <c r="M140" s="546">
        <v>233.6</v>
      </c>
      <c r="N140" s="546">
        <v>0.2429</v>
      </c>
      <c r="O140" s="361" t="s">
        <v>1186</v>
      </c>
      <c r="P140" s="546">
        <v>0.67</v>
      </c>
      <c r="Q140" s="546">
        <v>0.93</v>
      </c>
      <c r="R140" s="361" t="s">
        <v>1187</v>
      </c>
      <c r="S140" s="361" t="s">
        <v>1188</v>
      </c>
      <c r="T140" s="361"/>
    </row>
    <row r="141" spans="1:20">
      <c r="A141" s="1018"/>
      <c r="B141" s="1018"/>
      <c r="C141" s="4"/>
      <c r="D141" s="361" t="s">
        <v>1244</v>
      </c>
      <c r="E141" s="361" t="s">
        <v>1245</v>
      </c>
      <c r="F141" s="361" t="s">
        <v>1181</v>
      </c>
      <c r="G141" s="361"/>
      <c r="H141" s="361"/>
      <c r="I141" s="361"/>
      <c r="J141" s="361"/>
      <c r="K141" s="546">
        <v>0.59</v>
      </c>
      <c r="L141" s="546">
        <v>0.03</v>
      </c>
      <c r="M141" s="546">
        <v>208.7</v>
      </c>
      <c r="N141" s="546">
        <v>0.2165</v>
      </c>
      <c r="O141" s="361" t="s">
        <v>1182</v>
      </c>
      <c r="P141" s="546">
        <v>0.57999999999999996</v>
      </c>
      <c r="Q141" s="546">
        <v>0.83</v>
      </c>
      <c r="R141" s="361" t="s">
        <v>1190</v>
      </c>
      <c r="S141" s="361" t="s">
        <v>1188</v>
      </c>
      <c r="T141" s="361"/>
    </row>
    <row r="142" spans="1:20">
      <c r="A142" s="1018"/>
      <c r="B142" s="1018"/>
      <c r="C142" s="4"/>
      <c r="D142" s="361" t="s">
        <v>1246</v>
      </c>
      <c r="E142" s="361" t="s">
        <v>1247</v>
      </c>
      <c r="F142" s="361" t="s">
        <v>1185</v>
      </c>
      <c r="G142" s="361"/>
      <c r="H142" s="361"/>
      <c r="I142" s="361"/>
      <c r="J142" s="361"/>
      <c r="K142" s="546">
        <v>0.67</v>
      </c>
      <c r="L142" s="546">
        <v>3.4000000000000002E-2</v>
      </c>
      <c r="M142" s="546">
        <v>239.6</v>
      </c>
      <c r="N142" s="546">
        <v>0.2485</v>
      </c>
      <c r="O142" s="361" t="s">
        <v>1186</v>
      </c>
      <c r="P142" s="546">
        <v>0.67</v>
      </c>
      <c r="Q142" s="546">
        <v>0.95</v>
      </c>
      <c r="R142" s="361" t="s">
        <v>1187</v>
      </c>
      <c r="S142" s="361" t="s">
        <v>1188</v>
      </c>
      <c r="T142" s="361"/>
    </row>
    <row r="143" spans="1:20">
      <c r="A143" s="1018"/>
      <c r="B143" s="1018"/>
      <c r="C143" s="4"/>
      <c r="D143" s="361" t="s">
        <v>1248</v>
      </c>
      <c r="E143" s="361" t="s">
        <v>1249</v>
      </c>
      <c r="F143" s="361" t="s">
        <v>1181</v>
      </c>
      <c r="G143" s="361"/>
      <c r="H143" s="361"/>
      <c r="I143" s="361"/>
      <c r="J143" s="361"/>
      <c r="K143" s="546">
        <v>0.21</v>
      </c>
      <c r="L143" s="546">
        <v>7.0000000000000001E-3</v>
      </c>
      <c r="M143" s="546">
        <v>55.8</v>
      </c>
      <c r="N143" s="546">
        <v>5.79E-2</v>
      </c>
      <c r="O143" s="361" t="s">
        <v>1182</v>
      </c>
      <c r="P143" s="546">
        <v>0.17</v>
      </c>
      <c r="Q143" s="546">
        <v>0.22</v>
      </c>
      <c r="R143" s="361" t="s">
        <v>1190</v>
      </c>
      <c r="S143" s="361" t="s">
        <v>1188</v>
      </c>
      <c r="T143" s="361"/>
    </row>
    <row r="144" spans="1:20">
      <c r="A144" s="1018"/>
      <c r="B144" s="1018"/>
      <c r="C144" s="4"/>
      <c r="D144" s="361" t="s">
        <v>1250</v>
      </c>
      <c r="E144" s="361" t="s">
        <v>1251</v>
      </c>
      <c r="F144" s="361" t="s">
        <v>1185</v>
      </c>
      <c r="G144" s="361"/>
      <c r="H144" s="361"/>
      <c r="I144" s="361"/>
      <c r="J144" s="361"/>
      <c r="K144" s="546">
        <v>4.0199999999999996</v>
      </c>
      <c r="L144" s="546">
        <v>0.128</v>
      </c>
      <c r="M144" s="546">
        <v>1048.5</v>
      </c>
      <c r="N144" s="546">
        <v>1.0880000000000001</v>
      </c>
      <c r="O144" s="361" t="s">
        <v>1186</v>
      </c>
      <c r="P144" s="546">
        <v>3.24</v>
      </c>
      <c r="Q144" s="546">
        <v>4.13</v>
      </c>
      <c r="R144" s="361" t="s">
        <v>1187</v>
      </c>
      <c r="S144" s="361" t="s">
        <v>1188</v>
      </c>
      <c r="T144" s="361"/>
    </row>
    <row r="145" spans="1:21">
      <c r="A145" s="1018"/>
      <c r="B145" s="1018"/>
      <c r="C145" s="4"/>
      <c r="D145" s="361" t="s">
        <v>1252</v>
      </c>
      <c r="E145" s="361" t="s">
        <v>1253</v>
      </c>
      <c r="F145" s="361" t="s">
        <v>1185</v>
      </c>
      <c r="G145" s="361"/>
      <c r="H145" s="361"/>
      <c r="I145" s="361"/>
      <c r="J145" s="361"/>
      <c r="K145" s="546">
        <v>2.0699999999999998</v>
      </c>
      <c r="L145" s="546">
        <v>9.1999999999999998E-2</v>
      </c>
      <c r="M145" s="546">
        <v>983.5</v>
      </c>
      <c r="N145" s="546">
        <v>1.0211000000000001</v>
      </c>
      <c r="O145" s="361" t="s">
        <v>1186</v>
      </c>
      <c r="P145" s="546">
        <v>3.16</v>
      </c>
      <c r="Q145" s="546">
        <v>3.98</v>
      </c>
      <c r="R145" s="361" t="s">
        <v>1187</v>
      </c>
      <c r="S145" s="361" t="s">
        <v>1188</v>
      </c>
      <c r="T145" s="361"/>
    </row>
    <row r="146" spans="1:21">
      <c r="A146" s="1018"/>
      <c r="B146" s="1018"/>
      <c r="C146" s="4"/>
      <c r="D146" s="361" t="s">
        <v>1254</v>
      </c>
      <c r="E146" s="361" t="s">
        <v>1254</v>
      </c>
      <c r="F146" s="842" t="s">
        <v>1757</v>
      </c>
      <c r="G146" s="361"/>
      <c r="H146" s="361"/>
      <c r="I146" s="361"/>
      <c r="J146" s="361"/>
      <c r="K146" s="546"/>
      <c r="L146" s="546"/>
      <c r="M146" s="546"/>
      <c r="N146" s="546">
        <f>4*N26</f>
        <v>49.2</v>
      </c>
      <c r="O146" s="361" t="s">
        <v>1255</v>
      </c>
      <c r="P146" s="546"/>
      <c r="Q146" s="546"/>
      <c r="R146" s="361"/>
      <c r="S146" s="361" t="s">
        <v>1256</v>
      </c>
      <c r="T146" s="361"/>
    </row>
    <row r="147" spans="1:21">
      <c r="A147" s="1018"/>
      <c r="B147" s="1018"/>
      <c r="C147" s="4"/>
      <c r="D147" s="361" t="s">
        <v>1257</v>
      </c>
      <c r="E147" s="361" t="s">
        <v>1258</v>
      </c>
      <c r="F147" s="361" t="s">
        <v>1231</v>
      </c>
      <c r="G147" s="361"/>
      <c r="H147" s="361"/>
      <c r="I147" s="361"/>
      <c r="J147" s="361"/>
      <c r="K147" s="546"/>
      <c r="L147" s="546"/>
      <c r="M147" s="546"/>
      <c r="N147" s="546">
        <v>7.5514046816655439E-2</v>
      </c>
      <c r="O147" s="361" t="s">
        <v>1232</v>
      </c>
      <c r="P147" s="546"/>
      <c r="Q147" s="546"/>
      <c r="R147" s="361"/>
      <c r="S147" s="361" t="s">
        <v>1082</v>
      </c>
      <c r="T147" s="361"/>
    </row>
    <row r="148" spans="1:21">
      <c r="A148" s="1018"/>
      <c r="B148" s="1018"/>
      <c r="C148" s="4"/>
      <c r="D148" s="842" t="s">
        <v>1758</v>
      </c>
      <c r="E148" s="361" t="s">
        <v>1259</v>
      </c>
      <c r="F148" s="361" t="s">
        <v>1185</v>
      </c>
      <c r="G148" s="361"/>
      <c r="H148" s="361"/>
      <c r="I148" s="361"/>
      <c r="J148" s="361"/>
      <c r="K148" s="546"/>
      <c r="L148" s="546"/>
      <c r="M148" s="546"/>
      <c r="N148" s="546">
        <f>0.2076*N59</f>
        <v>6.4926069599999997E-2</v>
      </c>
      <c r="O148" s="361" t="s">
        <v>1186</v>
      </c>
      <c r="P148" s="546"/>
      <c r="Q148" s="546"/>
      <c r="R148" s="361"/>
      <c r="S148" s="361" t="s">
        <v>1260</v>
      </c>
      <c r="T148" s="361"/>
    </row>
    <row r="149" spans="1:21">
      <c r="A149" s="1018"/>
      <c r="B149" s="1018"/>
      <c r="C149" s="4"/>
      <c r="D149" s="842" t="s">
        <v>1759</v>
      </c>
      <c r="E149" s="361" t="s">
        <v>1261</v>
      </c>
      <c r="F149" s="842" t="s">
        <v>1757</v>
      </c>
      <c r="G149" s="361"/>
      <c r="H149" s="361"/>
      <c r="I149" s="361"/>
      <c r="J149" s="361"/>
      <c r="K149" s="546"/>
      <c r="L149" s="546"/>
      <c r="M149" s="546"/>
      <c r="N149" s="546">
        <f>15*N59</f>
        <v>4.6911899999999997</v>
      </c>
      <c r="O149" s="361" t="s">
        <v>1255</v>
      </c>
      <c r="P149" s="546"/>
      <c r="Q149" s="546"/>
      <c r="R149" s="361"/>
      <c r="S149" s="361" t="s">
        <v>1260</v>
      </c>
      <c r="T149" s="361"/>
    </row>
    <row r="150" spans="1:21">
      <c r="A150" s="1018"/>
      <c r="B150" s="1018"/>
      <c r="C150" s="4"/>
      <c r="D150" s="507"/>
      <c r="E150" s="507"/>
      <c r="F150" s="507"/>
      <c r="G150" s="549"/>
      <c r="H150" s="507"/>
      <c r="I150" s="549"/>
      <c r="J150" s="507"/>
      <c r="K150" s="549"/>
      <c r="L150" s="549"/>
      <c r="M150" s="549"/>
      <c r="N150" s="549"/>
      <c r="O150" s="507"/>
      <c r="P150" s="549"/>
      <c r="Q150" s="549"/>
      <c r="R150" s="507"/>
      <c r="S150" s="507"/>
    </row>
    <row r="151" spans="1:21">
      <c r="A151" s="1018"/>
      <c r="B151" s="1018"/>
      <c r="D151" s="547" t="s">
        <v>1066</v>
      </c>
      <c r="E151" s="550"/>
      <c r="F151" s="11"/>
      <c r="G151" s="108"/>
      <c r="H151" s="11"/>
      <c r="I151" s="108"/>
      <c r="J151" s="11"/>
      <c r="K151" s="108"/>
      <c r="L151" s="108"/>
      <c r="M151" s="108"/>
      <c r="N151" s="108"/>
      <c r="O151" s="11"/>
      <c r="P151" s="108"/>
      <c r="Q151" s="108"/>
      <c r="R151" s="11"/>
      <c r="S151" s="11"/>
      <c r="T151" s="11"/>
    </row>
    <row r="152" spans="1:21">
      <c r="A152" s="1018"/>
      <c r="B152" s="1018"/>
      <c r="D152" s="547" t="s">
        <v>1066</v>
      </c>
      <c r="E152" s="550"/>
      <c r="F152" s="11"/>
      <c r="G152" s="108"/>
      <c r="H152" s="11"/>
      <c r="I152" s="108"/>
      <c r="J152" s="11"/>
      <c r="K152" s="108"/>
      <c r="L152" s="108"/>
      <c r="M152" s="108"/>
      <c r="N152" s="108"/>
      <c r="O152" s="11"/>
      <c r="P152" s="108"/>
      <c r="Q152" s="108"/>
      <c r="R152" s="11"/>
      <c r="S152" s="11"/>
      <c r="T152" s="11"/>
      <c r="U152" s="102" t="s">
        <v>1163</v>
      </c>
    </row>
    <row r="153" spans="1:21">
      <c r="A153" s="1018"/>
      <c r="B153" s="1018"/>
      <c r="D153" s="547" t="s">
        <v>1066</v>
      </c>
      <c r="E153" s="550"/>
      <c r="F153" s="11"/>
      <c r="G153" s="108"/>
      <c r="H153" s="11"/>
      <c r="I153" s="108"/>
      <c r="J153" s="11"/>
      <c r="K153" s="108"/>
      <c r="L153" s="108"/>
      <c r="M153" s="108"/>
      <c r="N153" s="108"/>
      <c r="O153" s="11"/>
      <c r="P153" s="108"/>
      <c r="Q153" s="108"/>
      <c r="R153" s="11"/>
      <c r="S153" s="11"/>
      <c r="T153" s="11"/>
      <c r="U153" s="102" t="s">
        <v>1851</v>
      </c>
    </row>
    <row r="154" spans="1:21">
      <c r="A154" s="1018"/>
      <c r="B154" s="1018"/>
      <c r="D154" s="547" t="s">
        <v>1066</v>
      </c>
      <c r="E154" s="550"/>
      <c r="F154" s="11"/>
      <c r="G154" s="108"/>
      <c r="H154" s="11"/>
      <c r="I154" s="108"/>
      <c r="J154" s="11"/>
      <c r="K154" s="108"/>
      <c r="L154" s="108"/>
      <c r="M154" s="108"/>
      <c r="N154" s="108"/>
      <c r="O154" s="11"/>
      <c r="P154" s="108"/>
      <c r="Q154" s="108"/>
      <c r="R154" s="11"/>
      <c r="S154" s="11"/>
      <c r="T154" s="11"/>
      <c r="U154" s="102" t="s">
        <v>1852</v>
      </c>
    </row>
    <row r="155" spans="1:21">
      <c r="A155" s="1018"/>
      <c r="B155" s="1018"/>
      <c r="D155" s="547" t="s">
        <v>1066</v>
      </c>
      <c r="E155" s="550"/>
      <c r="F155" s="11"/>
      <c r="G155" s="108"/>
      <c r="H155" s="11"/>
      <c r="I155" s="108"/>
      <c r="J155" s="11"/>
      <c r="K155" s="108"/>
      <c r="L155" s="108"/>
      <c r="M155" s="108"/>
      <c r="N155" s="108"/>
      <c r="O155" s="11"/>
      <c r="P155" s="108"/>
      <c r="Q155" s="108"/>
      <c r="R155" s="11"/>
      <c r="S155" s="11"/>
      <c r="T155" s="11"/>
      <c r="U155" s="102" t="s">
        <v>1853</v>
      </c>
    </row>
    <row r="156" spans="1:21">
      <c r="A156" s="1018"/>
      <c r="B156" s="1018"/>
      <c r="D156" s="547" t="s">
        <v>1066</v>
      </c>
      <c r="E156" s="550"/>
      <c r="F156" s="11"/>
      <c r="G156" s="108"/>
      <c r="H156" s="11"/>
      <c r="I156" s="108"/>
      <c r="J156" s="11"/>
      <c r="K156" s="108"/>
      <c r="L156" s="108"/>
      <c r="M156" s="108"/>
      <c r="N156" s="108"/>
      <c r="O156" s="11"/>
      <c r="P156" s="108"/>
      <c r="Q156" s="108"/>
      <c r="R156" s="11"/>
      <c r="S156" s="11"/>
      <c r="T156" s="11"/>
    </row>
    <row r="157" spans="1:21">
      <c r="G157" s="4"/>
      <c r="I157" s="4"/>
      <c r="K157" s="4"/>
      <c r="L157" s="4"/>
      <c r="M157" s="4"/>
      <c r="N157" s="4"/>
      <c r="P157" s="4"/>
      <c r="Q157" s="4"/>
    </row>
    <row r="158" spans="1:21">
      <c r="A158" s="1018" t="s">
        <v>248</v>
      </c>
      <c r="B158" s="1018"/>
      <c r="D158" s="361" t="s">
        <v>251</v>
      </c>
      <c r="E158" s="361" t="s">
        <v>383</v>
      </c>
      <c r="F158" s="361" t="s">
        <v>416</v>
      </c>
      <c r="G158" s="361" t="s">
        <v>1069</v>
      </c>
      <c r="H158" s="361" t="s">
        <v>228</v>
      </c>
      <c r="I158" s="361" t="s">
        <v>1070</v>
      </c>
      <c r="J158" s="361" t="s">
        <v>415</v>
      </c>
      <c r="K158" s="361" t="s">
        <v>1071</v>
      </c>
      <c r="L158" s="361" t="s">
        <v>1072</v>
      </c>
      <c r="M158" s="361" t="s">
        <v>411</v>
      </c>
      <c r="N158" s="361" t="s">
        <v>362</v>
      </c>
      <c r="O158" s="361" t="s">
        <v>1073</v>
      </c>
      <c r="P158" s="361" t="s">
        <v>1074</v>
      </c>
      <c r="Q158" s="361" t="s">
        <v>1110</v>
      </c>
      <c r="R158" s="361" t="s">
        <v>1076</v>
      </c>
      <c r="S158" s="361" t="s">
        <v>229</v>
      </c>
      <c r="T158" s="361" t="s">
        <v>417</v>
      </c>
    </row>
    <row r="159" spans="1:21" hidden="1">
      <c r="A159" s="1018"/>
      <c r="B159" s="1018"/>
      <c r="D159" s="555" t="s">
        <v>128</v>
      </c>
      <c r="E159" s="555" t="s">
        <v>128</v>
      </c>
      <c r="F159" s="555"/>
      <c r="G159" s="556"/>
      <c r="H159" s="555"/>
      <c r="I159" s="556"/>
      <c r="J159" s="555"/>
      <c r="K159" s="556"/>
      <c r="L159" s="556"/>
      <c r="M159" s="556"/>
      <c r="N159" s="556"/>
      <c r="O159" s="555"/>
      <c r="P159" s="556"/>
      <c r="Q159" s="556"/>
      <c r="R159" s="555"/>
      <c r="S159" s="555"/>
    </row>
    <row r="160" spans="1:21" ht="16.5">
      <c r="A160" s="1018"/>
      <c r="B160" s="1018"/>
      <c r="C160" s="4"/>
      <c r="D160" s="361" t="s">
        <v>1262</v>
      </c>
      <c r="E160" s="361" t="s">
        <v>1263</v>
      </c>
      <c r="F160" s="361" t="s">
        <v>1264</v>
      </c>
      <c r="G160" s="361"/>
      <c r="H160" s="361"/>
      <c r="I160" s="361"/>
      <c r="J160" s="361"/>
      <c r="K160" s="361"/>
      <c r="L160" s="361"/>
      <c r="M160" s="361"/>
      <c r="N160" s="546">
        <v>2.8919000000000002E-3</v>
      </c>
      <c r="O160" s="361" t="s">
        <v>1265</v>
      </c>
      <c r="P160" s="546"/>
      <c r="Q160" s="546">
        <v>4.2950000000000002E-2</v>
      </c>
      <c r="R160" s="361" t="s">
        <v>1266</v>
      </c>
      <c r="S160" s="361" t="s">
        <v>1267</v>
      </c>
      <c r="T160" s="361"/>
    </row>
    <row r="161" spans="1:21" ht="16.5">
      <c r="A161" s="1018"/>
      <c r="B161" s="1018"/>
      <c r="C161" s="4"/>
      <c r="D161" s="361" t="s">
        <v>1268</v>
      </c>
      <c r="E161" s="361" t="s">
        <v>1269</v>
      </c>
      <c r="F161" s="361" t="s">
        <v>1264</v>
      </c>
      <c r="G161" s="361"/>
      <c r="H161" s="361"/>
      <c r="I161" s="361"/>
      <c r="J161" s="361"/>
      <c r="K161" s="546"/>
      <c r="L161" s="546"/>
      <c r="M161" s="546"/>
      <c r="N161" s="546">
        <v>3.6603999999999998E-2</v>
      </c>
      <c r="O161" s="361" t="s">
        <v>1265</v>
      </c>
      <c r="P161" s="546"/>
      <c r="Q161" s="546">
        <v>0.12945899999999999</v>
      </c>
      <c r="R161" s="361" t="s">
        <v>1266</v>
      </c>
      <c r="S161" s="361" t="s">
        <v>1270</v>
      </c>
      <c r="T161" s="361"/>
    </row>
    <row r="162" spans="1:21" ht="16.5">
      <c r="A162" s="1018"/>
      <c r="B162" s="1018"/>
      <c r="C162" s="4"/>
      <c r="D162" s="361" t="s">
        <v>1271</v>
      </c>
      <c r="E162" s="361" t="s">
        <v>1272</v>
      </c>
      <c r="F162" s="361" t="s">
        <v>1264</v>
      </c>
      <c r="G162" s="361"/>
      <c r="H162" s="361"/>
      <c r="I162" s="361"/>
      <c r="J162" s="361"/>
      <c r="K162" s="546">
        <v>0.05</v>
      </c>
      <c r="L162" s="546">
        <v>2E-3</v>
      </c>
      <c r="M162" s="546">
        <v>5.5</v>
      </c>
      <c r="N162" s="546">
        <v>5.7999999999999996E-3</v>
      </c>
      <c r="O162" s="361" t="s">
        <v>1265</v>
      </c>
      <c r="P162" s="546">
        <v>0.05</v>
      </c>
      <c r="Q162" s="546">
        <v>0.05</v>
      </c>
      <c r="R162" s="361" t="s">
        <v>1266</v>
      </c>
      <c r="S162" s="361" t="s">
        <v>1188</v>
      </c>
      <c r="T162" s="361"/>
    </row>
    <row r="163" spans="1:21" ht="16.5">
      <c r="A163" s="1018"/>
      <c r="B163" s="1018"/>
      <c r="C163" s="4"/>
      <c r="D163" s="842" t="s">
        <v>1760</v>
      </c>
      <c r="E163" s="361" t="s">
        <v>1273</v>
      </c>
      <c r="F163" s="361" t="s">
        <v>1264</v>
      </c>
      <c r="G163" s="361"/>
      <c r="H163" s="361"/>
      <c r="I163" s="361"/>
      <c r="J163" s="361"/>
      <c r="K163" s="546"/>
      <c r="L163" s="546"/>
      <c r="M163" s="546"/>
      <c r="N163" s="546">
        <v>3.0425000000000001E-2</v>
      </c>
      <c r="O163" s="361" t="s">
        <v>1265</v>
      </c>
      <c r="P163" s="546"/>
      <c r="Q163" s="546">
        <v>0.147485</v>
      </c>
      <c r="R163" s="361" t="s">
        <v>1266</v>
      </c>
      <c r="S163" s="361" t="s">
        <v>1274</v>
      </c>
      <c r="T163" s="361"/>
    </row>
    <row r="164" spans="1:21" ht="16.5">
      <c r="A164" s="1018"/>
      <c r="B164" s="1018"/>
      <c r="C164" s="4"/>
      <c r="D164" s="842" t="s">
        <v>1765</v>
      </c>
      <c r="E164" s="361" t="s">
        <v>1275</v>
      </c>
      <c r="F164" s="361" t="s">
        <v>1264</v>
      </c>
      <c r="G164" s="361"/>
      <c r="H164" s="361"/>
      <c r="I164" s="361"/>
      <c r="J164" s="361"/>
      <c r="K164" s="546">
        <v>0.26</v>
      </c>
      <c r="L164" s="546">
        <v>8.9999999999999993E-3</v>
      </c>
      <c r="M164" s="546">
        <v>84.7</v>
      </c>
      <c r="N164" s="546">
        <v>8.7999999999999995E-2</v>
      </c>
      <c r="O164" s="361" t="s">
        <v>1265</v>
      </c>
      <c r="P164" s="546">
        <v>0.27</v>
      </c>
      <c r="Q164" s="546">
        <v>0.34</v>
      </c>
      <c r="R164" s="361" t="s">
        <v>1266</v>
      </c>
      <c r="S164" s="361" t="s">
        <v>1188</v>
      </c>
      <c r="T164" s="361"/>
    </row>
    <row r="165" spans="1:21" ht="16.5">
      <c r="A165" s="1018"/>
      <c r="B165" s="1018"/>
      <c r="C165" s="4"/>
      <c r="D165" s="842" t="s">
        <v>1764</v>
      </c>
      <c r="E165" s="361" t="s">
        <v>1276</v>
      </c>
      <c r="F165" s="361" t="s">
        <v>1264</v>
      </c>
      <c r="G165" s="361"/>
      <c r="H165" s="361"/>
      <c r="I165" s="361"/>
      <c r="J165" s="361"/>
      <c r="K165" s="546">
        <v>3.01</v>
      </c>
      <c r="L165" s="546">
        <v>0.16800000000000001</v>
      </c>
      <c r="M165" s="546">
        <v>877.2</v>
      </c>
      <c r="N165" s="546">
        <v>0.9093</v>
      </c>
      <c r="O165" s="361" t="s">
        <v>1265</v>
      </c>
      <c r="P165" s="546">
        <v>2.57</v>
      </c>
      <c r="Q165" s="546">
        <v>3.51</v>
      </c>
      <c r="R165" s="361" t="s">
        <v>1266</v>
      </c>
      <c r="S165" s="361" t="s">
        <v>1188</v>
      </c>
      <c r="T165" s="361"/>
    </row>
    <row r="166" spans="1:21" ht="16.5">
      <c r="A166" s="1018"/>
      <c r="B166" s="1018"/>
      <c r="C166" s="4"/>
      <c r="D166" s="842" t="s">
        <v>1763</v>
      </c>
      <c r="E166" s="361" t="s">
        <v>1277</v>
      </c>
      <c r="F166" s="361" t="s">
        <v>1264</v>
      </c>
      <c r="G166" s="361"/>
      <c r="H166" s="361"/>
      <c r="I166" s="361"/>
      <c r="J166" s="361"/>
      <c r="K166" s="546">
        <v>1.72</v>
      </c>
      <c r="L166" s="546">
        <v>4.9000000000000002E-2</v>
      </c>
      <c r="M166" s="546">
        <v>355.7</v>
      </c>
      <c r="N166" s="546">
        <v>0.371</v>
      </c>
      <c r="O166" s="361" t="s">
        <v>1265</v>
      </c>
      <c r="P166" s="546">
        <v>1.17</v>
      </c>
      <c r="Q166" s="546">
        <v>1.42</v>
      </c>
      <c r="R166" s="361" t="s">
        <v>1266</v>
      </c>
      <c r="S166" s="361" t="s">
        <v>1188</v>
      </c>
      <c r="T166" s="361"/>
    </row>
    <row r="167" spans="1:21" ht="16.5">
      <c r="A167" s="1018"/>
      <c r="B167" s="1018"/>
      <c r="C167" s="4"/>
      <c r="D167" s="842" t="s">
        <v>1762</v>
      </c>
      <c r="E167" s="361" t="s">
        <v>1278</v>
      </c>
      <c r="F167" s="361" t="s">
        <v>1264</v>
      </c>
      <c r="G167" s="361"/>
      <c r="H167" s="361"/>
      <c r="I167" s="361"/>
      <c r="J167" s="361"/>
      <c r="K167" s="546">
        <v>0.65</v>
      </c>
      <c r="L167" s="546">
        <v>1.9E-2</v>
      </c>
      <c r="M167" s="546">
        <v>147.69999999999999</v>
      </c>
      <c r="N167" s="546">
        <v>0.15330000000000002</v>
      </c>
      <c r="O167" s="361" t="s">
        <v>1265</v>
      </c>
      <c r="P167" s="546">
        <v>0.48</v>
      </c>
      <c r="Q167" s="546">
        <v>0.59</v>
      </c>
      <c r="R167" s="361" t="s">
        <v>1266</v>
      </c>
      <c r="S167" s="361" t="s">
        <v>1188</v>
      </c>
      <c r="T167" s="361"/>
    </row>
    <row r="168" spans="1:21" ht="16.5">
      <c r="A168" s="1018"/>
      <c r="B168" s="1018"/>
      <c r="C168" s="4"/>
      <c r="D168" s="842" t="s">
        <v>1761</v>
      </c>
      <c r="E168" s="361" t="s">
        <v>1279</v>
      </c>
      <c r="F168" s="361" t="s">
        <v>1264</v>
      </c>
      <c r="G168" s="361"/>
      <c r="H168" s="361"/>
      <c r="I168" s="361"/>
      <c r="J168" s="361"/>
      <c r="K168" s="546">
        <v>0.13</v>
      </c>
      <c r="L168" s="546">
        <v>6.0000000000000001E-3</v>
      </c>
      <c r="M168" s="546">
        <v>63.7</v>
      </c>
      <c r="N168" s="546">
        <v>6.6099999999999992E-2</v>
      </c>
      <c r="O168" s="361" t="s">
        <v>1265</v>
      </c>
      <c r="P168" s="546">
        <v>0.2</v>
      </c>
      <c r="Q168" s="546">
        <v>0.26</v>
      </c>
      <c r="R168" s="361" t="s">
        <v>1266</v>
      </c>
      <c r="S168" s="361" t="s">
        <v>1188</v>
      </c>
      <c r="T168" s="361"/>
    </row>
    <row r="169" spans="1:21" ht="16.5">
      <c r="A169" s="1018"/>
      <c r="B169" s="1018"/>
      <c r="C169" s="4"/>
      <c r="D169" s="842" t="s">
        <v>1766</v>
      </c>
      <c r="E169" s="361" t="s">
        <v>1280</v>
      </c>
      <c r="F169" s="361" t="s">
        <v>1264</v>
      </c>
      <c r="G169" s="361"/>
      <c r="H169" s="361"/>
      <c r="I169" s="361"/>
      <c r="J169" s="361"/>
      <c r="K169" s="546"/>
      <c r="L169" s="546"/>
      <c r="M169" s="546"/>
      <c r="N169" s="546">
        <v>1.32</v>
      </c>
      <c r="O169" s="361" t="s">
        <v>1265</v>
      </c>
      <c r="P169" s="546"/>
      <c r="Q169" s="546"/>
      <c r="R169" s="361"/>
      <c r="S169" s="361" t="s">
        <v>1281</v>
      </c>
      <c r="T169" s="361"/>
    </row>
    <row r="170" spans="1:21" ht="16.5">
      <c r="A170" s="1018"/>
      <c r="B170" s="1018"/>
      <c r="C170" s="4"/>
      <c r="D170" s="842" t="s">
        <v>1767</v>
      </c>
      <c r="E170" s="361" t="s">
        <v>1282</v>
      </c>
      <c r="F170" s="361" t="s">
        <v>1264</v>
      </c>
      <c r="G170" s="361"/>
      <c r="H170" s="361"/>
      <c r="I170" s="361"/>
      <c r="J170" s="361"/>
      <c r="K170" s="546"/>
      <c r="L170" s="546"/>
      <c r="M170" s="546"/>
      <c r="N170" s="546">
        <v>0.82</v>
      </c>
      <c r="O170" s="361" t="s">
        <v>1265</v>
      </c>
      <c r="P170" s="546"/>
      <c r="Q170" s="546"/>
      <c r="R170" s="361"/>
      <c r="S170" s="361" t="s">
        <v>1281</v>
      </c>
      <c r="T170" s="361"/>
    </row>
    <row r="171" spans="1:21" ht="16.5">
      <c r="A171" s="1018"/>
      <c r="B171" s="1018"/>
      <c r="D171" s="842" t="s">
        <v>1768</v>
      </c>
      <c r="E171" s="361" t="s">
        <v>1283</v>
      </c>
      <c r="F171" s="361" t="s">
        <v>1264</v>
      </c>
      <c r="G171" s="361"/>
      <c r="H171" s="361"/>
      <c r="I171" s="361"/>
      <c r="J171" s="361"/>
      <c r="K171" s="546"/>
      <c r="L171" s="546"/>
      <c r="M171" s="546"/>
      <c r="N171" s="546">
        <v>0.65</v>
      </c>
      <c r="O171" s="361" t="s">
        <v>1265</v>
      </c>
      <c r="P171" s="546"/>
      <c r="Q171" s="546"/>
      <c r="R171" s="361"/>
      <c r="S171" s="361" t="s">
        <v>1281</v>
      </c>
      <c r="T171" s="361"/>
    </row>
    <row r="172" spans="1:21" ht="16.5">
      <c r="A172" s="1018"/>
      <c r="B172" s="1018"/>
      <c r="D172" s="361" t="s">
        <v>1284</v>
      </c>
      <c r="E172" s="361" t="s">
        <v>1285</v>
      </c>
      <c r="F172" s="361" t="s">
        <v>1264</v>
      </c>
      <c r="G172" s="361"/>
      <c r="H172" s="361"/>
      <c r="I172" s="361"/>
      <c r="J172" s="361"/>
      <c r="K172" s="361"/>
      <c r="L172" s="361"/>
      <c r="M172" s="361"/>
      <c r="N172" s="546">
        <v>1.21E-2</v>
      </c>
      <c r="O172" s="361" t="s">
        <v>1265</v>
      </c>
      <c r="P172" s="546"/>
      <c r="Q172" s="546">
        <v>4.4123999999999997E-2</v>
      </c>
      <c r="R172" s="361" t="s">
        <v>1266</v>
      </c>
      <c r="S172" s="361" t="s">
        <v>1286</v>
      </c>
      <c r="T172" s="361"/>
    </row>
    <row r="173" spans="1:21">
      <c r="A173" s="1018"/>
      <c r="B173" s="1018"/>
      <c r="D173" s="507"/>
      <c r="E173" s="507"/>
      <c r="F173" s="507"/>
      <c r="G173" s="549"/>
      <c r="H173" s="507"/>
      <c r="I173" s="549"/>
      <c r="J173" s="549"/>
      <c r="K173" s="549"/>
      <c r="L173" s="549"/>
      <c r="M173" s="549"/>
      <c r="N173" s="549"/>
      <c r="O173" s="507"/>
      <c r="P173" s="549"/>
      <c r="Q173" s="549"/>
      <c r="R173" s="507"/>
      <c r="S173" s="507"/>
    </row>
    <row r="174" spans="1:21">
      <c r="A174" s="1018"/>
      <c r="B174" s="1018"/>
      <c r="D174" s="547" t="s">
        <v>1066</v>
      </c>
      <c r="E174" s="550"/>
      <c r="F174" s="11"/>
      <c r="G174" s="11"/>
      <c r="H174" s="11"/>
      <c r="I174" s="11"/>
      <c r="J174" s="11"/>
      <c r="K174" s="11"/>
      <c r="L174" s="11"/>
      <c r="M174" s="11"/>
      <c r="N174" s="12"/>
      <c r="O174" s="11"/>
      <c r="P174" s="108"/>
      <c r="Q174" s="108"/>
      <c r="R174" s="11"/>
      <c r="S174" s="11"/>
      <c r="T174" s="11"/>
      <c r="U174" s="102" t="s">
        <v>1163</v>
      </c>
    </row>
    <row r="175" spans="1:21">
      <c r="A175" s="1018"/>
      <c r="B175" s="1018"/>
      <c r="D175" s="547" t="s">
        <v>1066</v>
      </c>
      <c r="E175" s="550"/>
      <c r="F175" s="11"/>
      <c r="G175" s="11"/>
      <c r="H175" s="11"/>
      <c r="I175" s="11"/>
      <c r="J175" s="11"/>
      <c r="K175" s="11"/>
      <c r="L175" s="11"/>
      <c r="M175" s="11"/>
      <c r="N175" s="12"/>
      <c r="O175" s="11"/>
      <c r="P175" s="108"/>
      <c r="Q175" s="108"/>
      <c r="R175" s="11"/>
      <c r="S175" s="11"/>
      <c r="T175" s="11"/>
      <c r="U175" s="102" t="s">
        <v>1287</v>
      </c>
    </row>
    <row r="176" spans="1:21">
      <c r="A176" s="1018"/>
      <c r="B176" s="1018"/>
      <c r="D176" s="547" t="s">
        <v>1066</v>
      </c>
      <c r="E176" s="550"/>
      <c r="F176" s="11"/>
      <c r="G176" s="11"/>
      <c r="H176" s="11"/>
      <c r="I176" s="11"/>
      <c r="J176" s="11"/>
      <c r="K176" s="11"/>
      <c r="L176" s="11"/>
      <c r="M176" s="11"/>
      <c r="N176" s="12"/>
      <c r="O176" s="11"/>
      <c r="P176" s="108"/>
      <c r="Q176" s="108"/>
      <c r="R176" s="11"/>
      <c r="S176" s="11"/>
      <c r="T176" s="11"/>
      <c r="U176" s="102" t="s">
        <v>1854</v>
      </c>
    </row>
    <row r="177" spans="1:21">
      <c r="A177" s="1018"/>
      <c r="B177" s="1018"/>
      <c r="D177" s="547" t="s">
        <v>1066</v>
      </c>
      <c r="E177" s="550"/>
      <c r="F177" s="11"/>
      <c r="G177" s="11"/>
      <c r="H177" s="11"/>
      <c r="I177" s="11"/>
      <c r="J177" s="11"/>
      <c r="K177" s="11"/>
      <c r="L177" s="11"/>
      <c r="M177" s="11"/>
      <c r="N177" s="12"/>
      <c r="O177" s="11"/>
      <c r="P177" s="108"/>
      <c r="Q177" s="108"/>
      <c r="R177" s="11"/>
      <c r="S177" s="11"/>
      <c r="T177" s="11"/>
      <c r="U177" s="102" t="s">
        <v>1853</v>
      </c>
    </row>
    <row r="178" spans="1:21">
      <c r="A178" s="1018"/>
      <c r="B178" s="1018"/>
      <c r="D178" s="547" t="s">
        <v>1066</v>
      </c>
      <c r="E178" s="550"/>
      <c r="F178" s="11"/>
      <c r="G178" s="11"/>
      <c r="H178" s="11"/>
      <c r="I178" s="11"/>
      <c r="J178" s="11"/>
      <c r="K178" s="11"/>
      <c r="L178" s="11"/>
      <c r="M178" s="11"/>
      <c r="N178" s="12"/>
      <c r="O178" s="11"/>
      <c r="P178" s="108"/>
      <c r="Q178" s="108"/>
      <c r="R178" s="11"/>
      <c r="S178" s="11"/>
      <c r="T178" s="11"/>
    </row>
    <row r="179" spans="1:21">
      <c r="A179" s="1018"/>
      <c r="B179" s="1018"/>
      <c r="D179" s="547" t="s">
        <v>1066</v>
      </c>
      <c r="E179" s="550"/>
      <c r="F179" s="11"/>
      <c r="G179" s="11"/>
      <c r="H179" s="11"/>
      <c r="I179" s="11"/>
      <c r="J179" s="11"/>
      <c r="K179" s="11"/>
      <c r="L179" s="11"/>
      <c r="M179" s="11"/>
      <c r="N179" s="12"/>
      <c r="O179" s="11"/>
      <c r="P179" s="108"/>
      <c r="Q179" s="108"/>
      <c r="R179" s="11"/>
      <c r="S179" s="11"/>
      <c r="T179" s="11"/>
    </row>
    <row r="180" spans="1:21">
      <c r="A180" s="1018"/>
      <c r="B180" s="1018"/>
      <c r="D180" s="547" t="s">
        <v>1066</v>
      </c>
      <c r="E180" s="550"/>
      <c r="F180" s="11"/>
      <c r="G180" s="11"/>
      <c r="H180" s="11"/>
      <c r="I180" s="11"/>
      <c r="J180" s="11"/>
      <c r="K180" s="11"/>
      <c r="L180" s="11"/>
      <c r="M180" s="11"/>
      <c r="N180" s="12"/>
      <c r="O180" s="11"/>
      <c r="P180" s="108"/>
      <c r="Q180" s="108"/>
      <c r="R180" s="11"/>
      <c r="S180" s="11"/>
      <c r="T180" s="11"/>
    </row>
    <row r="181" spans="1:21">
      <c r="A181" s="1018"/>
      <c r="B181" s="1018"/>
      <c r="D181" s="547" t="s">
        <v>1066</v>
      </c>
      <c r="E181" s="550"/>
      <c r="F181" s="11"/>
      <c r="G181" s="11"/>
      <c r="H181" s="11"/>
      <c r="I181" s="11"/>
      <c r="J181" s="11"/>
      <c r="K181" s="11"/>
      <c r="L181" s="11"/>
      <c r="M181" s="11"/>
      <c r="N181" s="12"/>
      <c r="O181" s="11"/>
      <c r="P181" s="108"/>
      <c r="Q181" s="108"/>
      <c r="R181" s="11"/>
      <c r="S181" s="11"/>
      <c r="T181" s="11"/>
    </row>
    <row r="182" spans="1:21">
      <c r="A182" s="1018"/>
      <c r="B182" s="1018"/>
      <c r="D182" s="547" t="s">
        <v>1066</v>
      </c>
      <c r="E182" s="550"/>
      <c r="F182" s="11"/>
      <c r="G182" s="11"/>
      <c r="H182" s="11"/>
      <c r="I182" s="11"/>
      <c r="J182" s="11"/>
      <c r="K182" s="11"/>
      <c r="L182" s="11"/>
      <c r="M182" s="11"/>
      <c r="N182" s="12"/>
      <c r="O182" s="11"/>
      <c r="P182" s="108"/>
      <c r="Q182" s="108"/>
      <c r="R182" s="11"/>
      <c r="S182" s="11"/>
      <c r="T182" s="11"/>
    </row>
    <row r="183" spans="1:21">
      <c r="A183" s="1018"/>
      <c r="B183" s="1018"/>
      <c r="D183" s="547" t="s">
        <v>1066</v>
      </c>
      <c r="E183" s="550"/>
      <c r="F183" s="11"/>
      <c r="G183" s="11"/>
      <c r="H183" s="11"/>
      <c r="I183" s="11"/>
      <c r="J183" s="11"/>
      <c r="K183" s="11"/>
      <c r="L183" s="11"/>
      <c r="M183" s="11"/>
      <c r="N183" s="12"/>
      <c r="O183" s="11"/>
      <c r="P183" s="108"/>
      <c r="Q183" s="108"/>
      <c r="R183" s="11"/>
      <c r="S183" s="11"/>
      <c r="T183" s="11"/>
    </row>
    <row r="184" spans="1:21">
      <c r="A184" s="215"/>
    </row>
    <row r="185" spans="1:21">
      <c r="A185" s="215"/>
    </row>
    <row r="186" spans="1:21">
      <c r="A186" s="215"/>
    </row>
    <row r="187" spans="1:21">
      <c r="A187" s="215"/>
    </row>
    <row r="188" spans="1:21">
      <c r="A188" s="215"/>
    </row>
    <row r="189" spans="1:21">
      <c r="A189" s="215"/>
    </row>
    <row r="190" spans="1:21">
      <c r="A190" s="215"/>
    </row>
    <row r="191" spans="1:21">
      <c r="A191" s="215"/>
    </row>
    <row r="192" spans="1:21">
      <c r="A192" s="215"/>
    </row>
    <row r="193" spans="1:1">
      <c r="A193" s="215"/>
    </row>
    <row r="194" spans="1:1">
      <c r="A194" s="215"/>
    </row>
    <row r="195" spans="1:1">
      <c r="A195" s="215"/>
    </row>
    <row r="196" spans="1:1">
      <c r="A196" s="215"/>
    </row>
    <row r="197" spans="1:1">
      <c r="A197" s="215"/>
    </row>
    <row r="198" spans="1:1">
      <c r="A198" s="215"/>
    </row>
    <row r="199" spans="1:1">
      <c r="A199" s="215"/>
    </row>
    <row r="200" spans="1:1">
      <c r="A200" s="215"/>
    </row>
    <row r="201" spans="1:1">
      <c r="A201" s="215"/>
    </row>
    <row r="202" spans="1:1">
      <c r="A202" s="215"/>
    </row>
    <row r="203" spans="1:1">
      <c r="A203" s="215"/>
    </row>
  </sheetData>
  <sortState xmlns:xlrd2="http://schemas.microsoft.com/office/spreadsheetml/2017/richdata2" ref="D152:S157">
    <sortCondition ref="D152:D157"/>
  </sortState>
  <mergeCells count="8">
    <mergeCell ref="A105:B156"/>
    <mergeCell ref="A158:B183"/>
    <mergeCell ref="A3:A33"/>
    <mergeCell ref="A35:A78"/>
    <mergeCell ref="A80:A103"/>
    <mergeCell ref="B3:B33"/>
    <mergeCell ref="B35:B78"/>
    <mergeCell ref="B80:B103"/>
  </mergeCells>
  <phoneticPr fontId="36" type="noConversion"/>
  <hyperlinks>
    <hyperlink ref="S148" r:id="rId1" xr:uid="{00000000-0004-0000-0F00-000000000000}"/>
    <hyperlink ref="S149" r:id="rId2" xr:uid="{00000000-0004-0000-0F00-000001000000}"/>
    <hyperlink ref="S146" r:id="rId3" xr:uid="{00000000-0004-0000-0F00-000002000000}"/>
    <hyperlink ref="V5" location="'Aufbau LCC-CO2-Tool'!A1" display="zurück zur Übersicht" xr:uid="{0BABE624-5562-4DE9-9FD1-24CE77CB5EFF}"/>
    <hyperlink ref="V6" location="'Anleitung für Beschaffende'!A20" display="zurück zur Anleitung für Beschaffende " xr:uid="{DDC07591-1D0A-4973-90A3-A6521CB343E8}"/>
    <hyperlink ref="V7" location="'Anleitung für Bietende'!A18" display="zurück zur Anleitung für Bietende" xr:uid="{A604EE7C-CA5B-4FBE-A72A-4C605AEBFE97}"/>
  </hyperlinks>
  <pageMargins left="0.70866141732283472" right="0.70866141732283472" top="0.74803149606299213" bottom="0.74803149606299213" header="0.31496062992125984" footer="0.31496062992125984"/>
  <pageSetup paperSize="9" orientation="portrait" horizontalDpi="1200" verticalDpi="1200" r:id="rId4"/>
  <headerFooter>
    <oddHeader>&amp;C&amp;14&amp;KFF0000TESTVERSION!</oddHeader>
    <oddFooter>&amp;L&amp;8LCC-CO2-Tool - Arbeitshilfe des Umweltbundesamtes&amp;C&amp;8Emissionsfaktoren Prozesse&amp;R&amp;8&amp;P</oddFooter>
  </headerFooter>
  <drawing r:id="rId5"/>
  <legacyDrawing r:id="rId6"/>
  <tableParts count="5">
    <tablePart r:id="rId7"/>
    <tablePart r:id="rId8"/>
    <tablePart r:id="rId9"/>
    <tablePart r:id="rId10"/>
    <tablePart r:id="rId1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1">
    <tabColor theme="0" tint="-4.9989318521683403E-2"/>
    <pageSetUpPr fitToPage="1"/>
  </sheetPr>
  <dimension ref="A1:D55"/>
  <sheetViews>
    <sheetView showGridLines="0" topLeftCell="A27" zoomScaleNormal="100" workbookViewId="0">
      <selection activeCell="A31" sqref="A31"/>
    </sheetView>
  </sheetViews>
  <sheetFormatPr baseColWidth="10" defaultColWidth="11.08203125" defaultRowHeight="14.5"/>
  <cols>
    <col min="1" max="1" width="83.4140625" style="933" customWidth="1"/>
    <col min="2" max="2" width="19.6640625" style="998" customWidth="1"/>
    <col min="3" max="4" width="19.33203125" style="998" customWidth="1"/>
    <col min="5" max="16" width="19.33203125" style="253" customWidth="1"/>
    <col min="17" max="16384" width="11.08203125" style="253"/>
  </cols>
  <sheetData>
    <row r="1" spans="1:3" ht="38.5">
      <c r="A1" s="254" t="s">
        <v>1818</v>
      </c>
    </row>
    <row r="2" spans="1:3" ht="55.5" customHeight="1">
      <c r="A2" s="914" t="s">
        <v>1827</v>
      </c>
    </row>
    <row r="3" spans="1:3" ht="18.5">
      <c r="A3" s="914"/>
    </row>
    <row r="4" spans="1:3" ht="24" thickBot="1">
      <c r="A4" s="915" t="s">
        <v>24</v>
      </c>
    </row>
    <row r="5" spans="1:3" ht="74" customHeight="1">
      <c r="A5" s="957" t="s">
        <v>1819</v>
      </c>
    </row>
    <row r="6" spans="1:3">
      <c r="A6" s="312"/>
    </row>
    <row r="7" spans="1:3" ht="24" thickBot="1">
      <c r="A7" s="915" t="s">
        <v>25</v>
      </c>
    </row>
    <row r="8" spans="1:3" ht="29">
      <c r="A8" s="366" t="s">
        <v>26</v>
      </c>
    </row>
    <row r="9" spans="1:3">
      <c r="A9" s="367" t="s">
        <v>27</v>
      </c>
    </row>
    <row r="10" spans="1:3" ht="43.5">
      <c r="A10" s="935" t="s">
        <v>1830</v>
      </c>
    </row>
    <row r="11" spans="1:3">
      <c r="A11" s="312"/>
    </row>
    <row r="12" spans="1:3" ht="47.5" thickBot="1">
      <c r="A12" s="917" t="s">
        <v>1828</v>
      </c>
    </row>
    <row r="13" spans="1:3" ht="246.5">
      <c r="A13" s="349" t="s">
        <v>1885</v>
      </c>
      <c r="B13" s="999" t="s">
        <v>1889</v>
      </c>
      <c r="C13" s="999" t="s">
        <v>1890</v>
      </c>
    </row>
    <row r="14" spans="1:3" ht="29">
      <c r="A14" s="346" t="s">
        <v>28</v>
      </c>
      <c r="B14" s="1000" t="s">
        <v>1891</v>
      </c>
    </row>
    <row r="15" spans="1:3" ht="29">
      <c r="A15" s="346" t="s">
        <v>1867</v>
      </c>
      <c r="B15" s="1000" t="s">
        <v>1896</v>
      </c>
    </row>
    <row r="16" spans="1:3" ht="43.5">
      <c r="A16" s="346" t="s">
        <v>29</v>
      </c>
      <c r="B16" s="1000" t="s">
        <v>1892</v>
      </c>
    </row>
    <row r="17" spans="1:4" ht="67" customHeight="1">
      <c r="A17" s="347" t="s">
        <v>1826</v>
      </c>
      <c r="B17" s="1000" t="s">
        <v>1893</v>
      </c>
    </row>
    <row r="18" spans="1:4" ht="94" customHeight="1">
      <c r="A18" s="348" t="s">
        <v>1820</v>
      </c>
      <c r="B18" s="999" t="s">
        <v>1897</v>
      </c>
      <c r="C18" s="999" t="s">
        <v>1898</v>
      </c>
    </row>
    <row r="19" spans="1:4" ht="409.5" customHeight="1">
      <c r="A19" s="936" t="s">
        <v>1884</v>
      </c>
      <c r="B19" s="999" t="s">
        <v>1899</v>
      </c>
      <c r="C19" s="999" t="s">
        <v>1900</v>
      </c>
    </row>
    <row r="20" spans="1:4" ht="93.5" customHeight="1">
      <c r="A20" s="937" t="s">
        <v>1838</v>
      </c>
      <c r="B20" s="999" t="s">
        <v>1901</v>
      </c>
      <c r="C20" s="999" t="s">
        <v>1894</v>
      </c>
      <c r="D20" s="999" t="s">
        <v>1895</v>
      </c>
    </row>
    <row r="21" spans="1:4" ht="87">
      <c r="A21" s="955" t="s">
        <v>1829</v>
      </c>
      <c r="B21" s="997"/>
    </row>
    <row r="22" spans="1:4">
      <c r="A22" s="312"/>
    </row>
    <row r="23" spans="1:4" ht="23.5">
      <c r="A23" s="917" t="s">
        <v>1821</v>
      </c>
    </row>
    <row r="24" spans="1:4" ht="14.5" customHeight="1">
      <c r="A24" s="918" t="s">
        <v>30</v>
      </c>
    </row>
    <row r="25" spans="1:4">
      <c r="A25" s="919" t="s">
        <v>31</v>
      </c>
    </row>
    <row r="26" spans="1:4">
      <c r="A26" s="920"/>
    </row>
    <row r="27" spans="1:4" ht="145.5" thickBot="1">
      <c r="A27" s="958" t="s">
        <v>1822</v>
      </c>
      <c r="B27" s="999" t="s">
        <v>1889</v>
      </c>
      <c r="C27" s="999" t="s">
        <v>1890</v>
      </c>
    </row>
    <row r="28" spans="1:4" ht="15.5" thickTop="1" thickBot="1">
      <c r="A28" s="916"/>
    </row>
    <row r="29" spans="1:4" ht="15" thickTop="1">
      <c r="A29" s="934" t="s">
        <v>1823</v>
      </c>
      <c r="B29" s="1000" t="s">
        <v>1891</v>
      </c>
    </row>
    <row r="30" spans="1:4">
      <c r="A30" s="921"/>
      <c r="B30" s="1000" t="s">
        <v>1896</v>
      </c>
    </row>
    <row r="31" spans="1:4" ht="218" thickBot="1">
      <c r="A31" s="1007" t="s">
        <v>1910</v>
      </c>
      <c r="B31" s="1000" t="s">
        <v>1892</v>
      </c>
    </row>
    <row r="32" spans="1:4" ht="15.5" thickTop="1" thickBot="1">
      <c r="A32" s="916"/>
    </row>
    <row r="33" spans="1:3" ht="15" thickTop="1">
      <c r="A33" s="934" t="s">
        <v>1314</v>
      </c>
      <c r="B33" s="1000" t="s">
        <v>1893</v>
      </c>
    </row>
    <row r="34" spans="1:3">
      <c r="A34" s="921"/>
    </row>
    <row r="35" spans="1:3" ht="151" customHeight="1" thickBot="1">
      <c r="A35" s="1007" t="s">
        <v>1839</v>
      </c>
    </row>
    <row r="36" spans="1:3" ht="15.5" thickTop="1" thickBot="1">
      <c r="A36" s="916"/>
    </row>
    <row r="37" spans="1:3" ht="15" thickTop="1">
      <c r="A37" s="922" t="s">
        <v>1825</v>
      </c>
    </row>
    <row r="38" spans="1:3" ht="246.5">
      <c r="A38" s="965" t="s">
        <v>1846</v>
      </c>
      <c r="B38" s="999" t="s">
        <v>1897</v>
      </c>
      <c r="C38" s="999" t="s">
        <v>1898</v>
      </c>
    </row>
    <row r="39" spans="1:3" ht="188.5">
      <c r="A39" s="923" t="s">
        <v>1837</v>
      </c>
    </row>
    <row r="40" spans="1:3" ht="174">
      <c r="A40" s="965" t="s">
        <v>1847</v>
      </c>
    </row>
    <row r="41" spans="1:3" ht="160.5" customHeight="1" thickBot="1">
      <c r="A41" s="964" t="s">
        <v>1840</v>
      </c>
    </row>
    <row r="42" spans="1:3" ht="15.5" thickTop="1" thickBot="1">
      <c r="A42" s="916"/>
    </row>
    <row r="43" spans="1:3" ht="15" thickTop="1">
      <c r="A43" s="924" t="s">
        <v>1824</v>
      </c>
    </row>
    <row r="44" spans="1:3">
      <c r="A44" s="925"/>
    </row>
    <row r="45" spans="1:3" ht="174.5" thickBot="1">
      <c r="A45" s="926" t="s">
        <v>1844</v>
      </c>
      <c r="B45" s="999" t="s">
        <v>1899</v>
      </c>
      <c r="C45" s="999" t="s">
        <v>1900</v>
      </c>
    </row>
    <row r="46" spans="1:3" ht="15.5" thickTop="1" thickBot="1">
      <c r="A46" s="916"/>
    </row>
    <row r="47" spans="1:3" ht="15" thickTop="1">
      <c r="A47" s="927" t="s">
        <v>1841</v>
      </c>
    </row>
    <row r="48" spans="1:3">
      <c r="A48" s="928"/>
    </row>
    <row r="49" spans="1:4" ht="89.5" thickBot="1">
      <c r="A49" s="929" t="s">
        <v>1842</v>
      </c>
      <c r="B49" s="999" t="s">
        <v>1902</v>
      </c>
      <c r="C49" s="999" t="s">
        <v>1903</v>
      </c>
      <c r="D49" s="999" t="s">
        <v>1904</v>
      </c>
    </row>
    <row r="50" spans="1:4" ht="15.5" thickTop="1" thickBot="1">
      <c r="A50" s="916"/>
    </row>
    <row r="51" spans="1:4" ht="15.5" thickTop="1" thickBot="1">
      <c r="A51" s="930" t="s">
        <v>37</v>
      </c>
    </row>
    <row r="52" spans="1:4" ht="15" thickTop="1">
      <c r="A52" s="931"/>
    </row>
    <row r="53" spans="1:4" ht="101.5">
      <c r="A53" s="931" t="s">
        <v>1843</v>
      </c>
      <c r="B53" s="999" t="s">
        <v>1901</v>
      </c>
      <c r="C53" s="999" t="s">
        <v>1894</v>
      </c>
      <c r="D53" s="999" t="s">
        <v>1895</v>
      </c>
    </row>
    <row r="54" spans="1:4" ht="15" thickBot="1">
      <c r="A54" s="932"/>
    </row>
    <row r="55" spans="1:4" ht="15" thickTop="1">
      <c r="A55" s="916"/>
    </row>
  </sheetData>
  <hyperlinks>
    <hyperlink ref="B13" location="'Punktevergabe Übersicht'!A1" display="zum Tabellenblatt Punktevergabe Übersicht" xr:uid="{E73427C6-8017-4BBA-BC8B-F7FC11A5D48A}"/>
    <hyperlink ref="C13" location="'Punktevergabe Details'!A1" display="zum Tabellenblatt Punktevergabe Details" xr:uid="{18013A17-1721-49CD-BBF0-DF263C81AE56}"/>
    <hyperlink ref="B14" location="Einmalkosten!A1" display="Zum Tabellenblatt Einmalkosten" xr:uid="{40E7717F-4F48-433C-830A-982186B1B0A2}"/>
    <hyperlink ref="B15" location="'Transport+Installationskosten'!A1" display="Zum Tabellenblatt Transport + Installationskosten" xr:uid="{421BC5C2-2397-443A-87A1-8B46E2C19C25}"/>
    <hyperlink ref="B16" location="'Laufende Kosten'!A1" display="Zum Tabellenblatt Laufende Kosten" xr:uid="{49A9A3B2-47F9-454F-A9F5-8337A38DB323}"/>
    <hyperlink ref="B17" location="Investitionsrechnung!A1" display="Zum Tabellenblatt Investitionsrechnung" xr:uid="{666F8527-1841-44D9-A477-D0E2613AB841}"/>
    <hyperlink ref="B18" location="'THG-Emissionen mit Zertifikat'!A1" display="'THG-Emissionen mit Zertifikat'!A1" xr:uid="{3E2F9A03-DA66-4187-8543-B7734CC8D291}"/>
    <hyperlink ref="C18" location="'THG-Emissionen ohne Zertifikat'!A1" display="'THG-Emissionen ohne Zertifikat'!A1" xr:uid="{EB33148A-AF51-4D9F-8590-9E63347345BE}"/>
    <hyperlink ref="B19" location="'Ergebnis LCC inkl. CO2-Kosten'!A1" display="'Ergebnis LCC inkl. CO2-Kosten'!A1" xr:uid="{E0E6C339-911B-46FC-99DB-62DB8B1CAD77}"/>
    <hyperlink ref="C19" location="'Ergebnis LCC ohne CO2-Kosten'!A1" display="'Ergebnis LCC ohne CO2-Kosten'!A1" xr:uid="{E07D2750-A38D-4BC6-A318-565B10B691FC}"/>
    <hyperlink ref="B20" location="Emissionsfaktoren_Stoffe!A1" display="Emissionsfaktoren_Stoffe!A1" xr:uid="{90E80E3D-FFE1-4645-AF88-0485E35A058E}"/>
    <hyperlink ref="C20" location="Emissionsfaktoren_Prozesse!A1" display="Zum Tabellenblatt Emissionsfaktoren Prozesse" xr:uid="{892F7501-8EF3-464A-AFEC-054C7ACDCC8B}"/>
    <hyperlink ref="D20" location="Emissionsfaktoren_Lebenszyklus!A1" display="Zum Tabellenblatt Emissionsfaktoren Lebenszyklus" xr:uid="{50E7FCEB-FCC5-44B3-8BF8-3905AC7DBF64}"/>
    <hyperlink ref="B27" location="'Punktevergabe Übersicht'!A1" display="zum Tabellenblatt Punktevergabe Übersicht" xr:uid="{09B11FD2-FF2E-4309-AF07-85C79B6D699D}"/>
    <hyperlink ref="C27" location="'Punktevergabe Details'!A1" display="zum Tabellenblatt Punktevergabe Details" xr:uid="{6FB4B977-A4B4-4311-A910-D5654C1FDE29}"/>
    <hyperlink ref="B29" location="Einmalkosten!A1" display="Zum Tabellenblatt Einmalkosten" xr:uid="{1A3E76EC-F7AF-4C91-9FF8-B676199014C6}"/>
    <hyperlink ref="B30" location="'Transport+Installationskosten'!A1" display="Zum Tabellenblatt Transport + Installationskosten" xr:uid="{7823F151-0629-488A-989C-2067378EED7B}"/>
    <hyperlink ref="B31" location="'Laufende Kosten'!A1" display="Zum Tabellenblatt Laufende Kosten" xr:uid="{BB57DAA4-B432-4174-B2B1-68B86419C7DE}"/>
    <hyperlink ref="B33" location="Investitionsrechnung!A1" display="Zum Tabellenblatt Investitionsrechnung" xr:uid="{114BC1EC-2017-437B-AFB2-CF3F1CA4BBB9}"/>
    <hyperlink ref="B38" location="'THG-Emissionen mit Zertifikat'!A1" display="'THG-Emissionen mit Zertifikat'!A1" xr:uid="{AFCFFFD3-25F6-4446-97F6-0795849EFE00}"/>
    <hyperlink ref="C38" location="'THG-Emissionen ohne Zertifikat'!A1" display="'THG-Emissionen ohne Zertifikat'!A1" xr:uid="{6C2D6E67-94D1-4AD2-ABB1-DB811632AFF8}"/>
    <hyperlink ref="B45" location="'Ergebnis LCC inkl. CO2-Kosten'!A1" display="'Ergebnis LCC inkl. CO2-Kosten'!A1" xr:uid="{90EA483A-1D9A-4A01-AFB5-867A287EFD1A}"/>
    <hyperlink ref="C45" location="'Ergebnis LCC ohne CO2-Kosten'!A1" display="'Ergebnis LCC ohne CO2-Kosten'!A1" xr:uid="{6DA3640E-978F-4056-8BA8-4599128E3A23}"/>
    <hyperlink ref="C49" location="'Transport + Installation'!A1" display="Zum Tabellenblatt Transport+Installation" xr:uid="{069C89B7-ECE9-4673-B07C-AE20A5BBF98E}"/>
    <hyperlink ref="D49" location="Nutzung!A1" display="Zum Tabellenblatt Nutzung" xr:uid="{AC26A336-1294-4829-A371-D61304844BD5}"/>
    <hyperlink ref="B53" location="Emissionsfaktoren_Stoffe!A1" display="Emissionsfaktoren_Stoffe!A1" xr:uid="{E31F1DF1-BC0F-4102-92C0-C488176341FA}"/>
    <hyperlink ref="C53" location="Emissionsfaktoren_Prozesse!A1" display="Zum Tabellenblatt Emissionsfaktoren Prozesse" xr:uid="{00147927-72A2-4148-AC29-FE4B509E4824}"/>
    <hyperlink ref="D53" location="Emissionsfaktoren_Lebenszyklus!A1" display="Zum Tabellenblatt Emissionsfaktoren Lebenszyklus" xr:uid="{7CF6912F-F7F0-49A7-9BE0-C977E14AC8C7}"/>
    <hyperlink ref="B49" location="Produktion!A1" display="Produktion!A1" xr:uid="{6CBE9E38-30F8-4798-A62A-3EAC25D81BA3}"/>
  </hyperlinks>
  <pageMargins left="0.70866141732283472" right="0.70866141732283472" top="0.78740157480314965" bottom="0.78740157480314965" header="0.31496062992125984" footer="0.31496062992125984"/>
  <pageSetup paperSize="9" scale="98" fitToHeight="0" orientation="portrait" r:id="rId1"/>
  <headerFooter>
    <oddHeader>&amp;C&amp;14&amp;KFF0000TESTVERSION!</oddHeader>
    <oddFooter>&amp;L&amp;8LCC-CO2-Tool - Arbeitshilfe des Umweltbundesamtes&amp;C&amp;8Anleitung für Beschaffende&amp;R&amp;8&amp;P</oddFooter>
  </headerFooter>
  <rowBreaks count="2" manualBreakCount="2">
    <brk id="21" max="16383" man="1"/>
    <brk id="35" max="16383" man="1"/>
  </rowBreak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6">
    <tabColor theme="0"/>
  </sheetPr>
  <dimension ref="B1:K26"/>
  <sheetViews>
    <sheetView showGridLines="0" zoomScaleNormal="100" workbookViewId="0">
      <pane ySplit="2" topLeftCell="A5" activePane="bottomLeft" state="frozen"/>
      <selection pane="bottomLeft" activeCell="C1" sqref="C1"/>
    </sheetView>
  </sheetViews>
  <sheetFormatPr baseColWidth="10" defaultColWidth="8" defaultRowHeight="14.5"/>
  <cols>
    <col min="1" max="1" width="2.08203125" style="2" customWidth="1"/>
    <col min="2" max="2" width="18.5" style="2" customWidth="1"/>
    <col min="3" max="3" width="38.5" style="2" customWidth="1"/>
    <col min="4" max="4" width="29.25" style="2" customWidth="1"/>
    <col min="5" max="7" width="11.08203125" style="2" customWidth="1"/>
    <col min="8" max="8" width="13.5" style="2" customWidth="1"/>
    <col min="9" max="9" width="11.08203125" style="2" customWidth="1"/>
    <col min="10" max="10" width="36.5" style="2" customWidth="1"/>
    <col min="11" max="11" width="32.75" style="2" customWidth="1"/>
    <col min="12" max="16384" width="8" style="2"/>
  </cols>
  <sheetData>
    <row r="1" spans="2:11" ht="67.150000000000006" customHeight="1">
      <c r="B1" s="95" t="s">
        <v>1288</v>
      </c>
    </row>
    <row r="2" spans="2:11" ht="15.5">
      <c r="B2" s="70" t="s">
        <v>1289</v>
      </c>
      <c r="C2" s="70" t="s">
        <v>156</v>
      </c>
      <c r="D2" s="70" t="s">
        <v>251</v>
      </c>
      <c r="E2" s="70" t="s">
        <v>1071</v>
      </c>
      <c r="F2" s="70" t="s">
        <v>1072</v>
      </c>
      <c r="G2" s="70" t="s">
        <v>411</v>
      </c>
      <c r="H2" s="70" t="s">
        <v>1290</v>
      </c>
      <c r="I2" s="70" t="s">
        <v>228</v>
      </c>
      <c r="J2" s="70" t="s">
        <v>1291</v>
      </c>
      <c r="K2" s="70" t="s">
        <v>229</v>
      </c>
    </row>
    <row r="3" spans="2:11" hidden="1">
      <c r="B3" s="557"/>
      <c r="C3" s="558" t="s">
        <v>128</v>
      </c>
      <c r="D3" s="558" t="s">
        <v>128</v>
      </c>
      <c r="E3" s="557"/>
      <c r="F3" s="558"/>
      <c r="G3" s="557"/>
      <c r="H3" s="558"/>
      <c r="I3" s="558"/>
      <c r="J3" s="558"/>
      <c r="K3" s="558"/>
    </row>
    <row r="4" spans="2:11" hidden="1">
      <c r="B4" s="557"/>
      <c r="C4" s="973" t="s">
        <v>1876</v>
      </c>
      <c r="D4" s="973" t="s">
        <v>1876</v>
      </c>
      <c r="E4" s="557"/>
      <c r="F4" s="558"/>
      <c r="G4" s="557"/>
      <c r="H4" s="558"/>
      <c r="I4" s="558"/>
      <c r="J4" s="558"/>
      <c r="K4" s="558"/>
    </row>
    <row r="5" spans="2:11">
      <c r="B5" s="219" t="s">
        <v>1292</v>
      </c>
      <c r="C5" s="1011" t="s">
        <v>1293</v>
      </c>
      <c r="D5" s="560" t="s">
        <v>1294</v>
      </c>
      <c r="E5" s="559"/>
      <c r="F5" s="560"/>
      <c r="G5" s="559"/>
      <c r="H5" s="560">
        <v>6162.3</v>
      </c>
      <c r="I5" s="560" t="s">
        <v>420</v>
      </c>
      <c r="J5" s="560" t="s">
        <v>1295</v>
      </c>
      <c r="K5" s="560" t="s">
        <v>1296</v>
      </c>
    </row>
    <row r="6" spans="2:11">
      <c r="B6" s="227" t="s">
        <v>1292</v>
      </c>
      <c r="C6" s="561" t="s">
        <v>1297</v>
      </c>
      <c r="D6" s="562" t="s">
        <v>1298</v>
      </c>
      <c r="E6" s="561"/>
      <c r="F6" s="562"/>
      <c r="G6" s="561"/>
      <c r="H6" s="562">
        <v>3942</v>
      </c>
      <c r="I6" s="562" t="s">
        <v>420</v>
      </c>
      <c r="J6" s="562" t="s">
        <v>1295</v>
      </c>
      <c r="K6" s="562" t="s">
        <v>1296</v>
      </c>
    </row>
    <row r="7" spans="2:11">
      <c r="B7" s="226" t="s">
        <v>1292</v>
      </c>
      <c r="C7" s="559" t="s">
        <v>1299</v>
      </c>
      <c r="D7" s="560" t="s">
        <v>1300</v>
      </c>
      <c r="E7" s="559"/>
      <c r="F7" s="560"/>
      <c r="G7" s="559"/>
      <c r="H7" s="560">
        <v>25000.2</v>
      </c>
      <c r="I7" s="560" t="s">
        <v>420</v>
      </c>
      <c r="J7" s="560" t="s">
        <v>1295</v>
      </c>
      <c r="K7" s="560" t="s">
        <v>1296</v>
      </c>
    </row>
    <row r="8" spans="2:11">
      <c r="B8" s="228" t="s">
        <v>1292</v>
      </c>
      <c r="C8" s="227" t="s">
        <v>1301</v>
      </c>
      <c r="D8" s="562" t="s">
        <v>1302</v>
      </c>
      <c r="E8" s="561"/>
      <c r="F8" s="562"/>
      <c r="G8" s="561"/>
      <c r="H8" s="562">
        <v>210061.8</v>
      </c>
      <c r="I8" s="562" t="s">
        <v>420</v>
      </c>
      <c r="J8" s="562" t="s">
        <v>1295</v>
      </c>
      <c r="K8" s="562" t="s">
        <v>1296</v>
      </c>
    </row>
    <row r="9" spans="2:11">
      <c r="B9" s="219" t="s">
        <v>1303</v>
      </c>
      <c r="C9" s="559" t="s">
        <v>1304</v>
      </c>
      <c r="D9" s="560" t="s">
        <v>1305</v>
      </c>
      <c r="E9" s="559"/>
      <c r="F9" s="560"/>
      <c r="G9" s="559"/>
      <c r="H9" s="560">
        <v>5217</v>
      </c>
      <c r="I9" s="560" t="s">
        <v>420</v>
      </c>
      <c r="J9" s="560" t="s">
        <v>1295</v>
      </c>
      <c r="K9" s="560" t="s">
        <v>1296</v>
      </c>
    </row>
    <row r="10" spans="2:11">
      <c r="B10" s="220" t="s">
        <v>1303</v>
      </c>
      <c r="C10" s="844" t="s">
        <v>1771</v>
      </c>
      <c r="D10" s="564" t="s">
        <v>1306</v>
      </c>
      <c r="E10" s="563"/>
      <c r="F10" s="564"/>
      <c r="G10" s="563"/>
      <c r="H10" s="564">
        <v>317552</v>
      </c>
      <c r="I10" s="564" t="s">
        <v>420</v>
      </c>
      <c r="J10" s="562" t="s">
        <v>1295</v>
      </c>
      <c r="K10" s="564" t="s">
        <v>1296</v>
      </c>
    </row>
    <row r="11" spans="2:11">
      <c r="B11" s="565"/>
      <c r="C11" s="565"/>
      <c r="D11" s="565"/>
      <c r="E11" s="565"/>
      <c r="F11" s="565"/>
      <c r="G11" s="565"/>
      <c r="H11" s="566"/>
      <c r="I11" s="565"/>
      <c r="J11" s="13"/>
    </row>
    <row r="12" spans="2:11">
      <c r="B12" s="550"/>
      <c r="C12" s="547" t="s">
        <v>1066</v>
      </c>
      <c r="D12" s="547"/>
      <c r="E12" s="97"/>
      <c r="F12" s="97"/>
      <c r="G12" s="97"/>
      <c r="H12" s="98"/>
      <c r="I12" s="98"/>
      <c r="J12" s="97"/>
      <c r="K12" s="97"/>
    </row>
    <row r="13" spans="2:11">
      <c r="B13" s="550"/>
      <c r="C13" s="547" t="s">
        <v>1066</v>
      </c>
      <c r="D13" s="547"/>
      <c r="E13" s="97"/>
      <c r="F13" s="97"/>
      <c r="G13" s="97"/>
      <c r="H13" s="98"/>
      <c r="I13" s="98"/>
      <c r="J13" s="97"/>
      <c r="K13" s="97"/>
    </row>
    <row r="14" spans="2:11">
      <c r="B14" s="550"/>
      <c r="C14" s="547" t="s">
        <v>1066</v>
      </c>
      <c r="D14" s="547"/>
      <c r="E14" s="97"/>
      <c r="F14" s="97"/>
      <c r="G14" s="97"/>
      <c r="H14" s="98"/>
      <c r="I14" s="98"/>
      <c r="J14" s="97"/>
      <c r="K14" s="97"/>
    </row>
    <row r="15" spans="2:11">
      <c r="B15" s="550"/>
      <c r="C15" s="547" t="s">
        <v>1066</v>
      </c>
      <c r="D15" s="547"/>
      <c r="E15" s="97"/>
      <c r="F15" s="97"/>
      <c r="G15" s="97"/>
      <c r="H15" s="98"/>
      <c r="I15" s="98"/>
      <c r="J15" s="97"/>
      <c r="K15" s="97"/>
    </row>
    <row r="16" spans="2:11">
      <c r="B16" s="550"/>
      <c r="C16" s="547" t="s">
        <v>1066</v>
      </c>
      <c r="D16" s="547"/>
      <c r="E16" s="97"/>
      <c r="F16" s="97"/>
      <c r="G16" s="97"/>
      <c r="H16" s="98"/>
      <c r="I16" s="98"/>
      <c r="J16" s="97"/>
      <c r="K16" s="97"/>
    </row>
    <row r="17" spans="2:11">
      <c r="B17" s="550"/>
      <c r="C17" s="547" t="s">
        <v>1066</v>
      </c>
      <c r="D17" s="547"/>
      <c r="E17" s="97"/>
      <c r="F17" s="97"/>
      <c r="G17" s="97"/>
      <c r="H17" s="98"/>
      <c r="I17" s="98"/>
      <c r="J17" s="97"/>
      <c r="K17" s="97"/>
    </row>
    <row r="18" spans="2:11">
      <c r="H18" s="4"/>
    </row>
    <row r="19" spans="2:11">
      <c r="B19" s="996" t="s">
        <v>1886</v>
      </c>
      <c r="H19" s="4"/>
    </row>
    <row r="20" spans="2:11">
      <c r="B20" s="996" t="s">
        <v>1887</v>
      </c>
      <c r="H20" s="4"/>
    </row>
    <row r="21" spans="2:11">
      <c r="B21" s="996" t="s">
        <v>1888</v>
      </c>
      <c r="H21" s="4"/>
    </row>
    <row r="22" spans="2:11">
      <c r="H22" s="4"/>
    </row>
    <row r="23" spans="2:11">
      <c r="H23" s="4"/>
    </row>
    <row r="24" spans="2:11">
      <c r="H24" s="4"/>
    </row>
    <row r="25" spans="2:11">
      <c r="H25" s="4"/>
    </row>
    <row r="26" spans="2:11">
      <c r="H26" s="4"/>
    </row>
  </sheetData>
  <hyperlinks>
    <hyperlink ref="B19" location="'Aufbau LCC-CO2-Tool'!A1" display="zurück zur Übersicht" xr:uid="{C194FD88-F847-4E9F-A550-C3ACE4F7AEBC}"/>
    <hyperlink ref="B20" location="'Anleitung für Beschaffende'!A20" display="zurück zur Anleitung für Beschaffende " xr:uid="{F70327BB-255A-40A8-B030-362F8B4DB1F3}"/>
    <hyperlink ref="B21" location="'Anleitung für Bietende'!A18" display="zurück zur Anleitung für Bietende" xr:uid="{29E02B3F-484E-44D5-ADBF-4BCCE74C47F5}"/>
  </hyperlinks>
  <pageMargins left="0.70866141732283472" right="0.70866141732283472" top="0.74803149606299213" bottom="0.74803149606299213" header="0.31496062992125984" footer="0.31496062992125984"/>
  <pageSetup paperSize="9" orientation="portrait" horizontalDpi="1200" verticalDpi="1200" r:id="rId1"/>
  <headerFooter>
    <oddHeader>&amp;C&amp;14&amp;KFF0000TESTVERSION!</oddHeader>
    <oddFooter>&amp;L&amp;8LCC-CO2-Tool - Arbeitshilfe des Umweltbundesamtes&amp;C&amp;8Emissionsfaktoren Lebenszyklus&amp;R&amp;8&amp;P</oddFooter>
  </headerFooter>
  <drawing r:id="rId2"/>
  <legacyDrawing r:id="rId3"/>
  <tableParts count="1">
    <tablePart r:id="rId4"/>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7">
    <tabColor rgb="FFC5C5C9"/>
    <pageSetUpPr fitToPage="1"/>
  </sheetPr>
  <dimension ref="A1:G18"/>
  <sheetViews>
    <sheetView showGridLines="0" workbookViewId="0"/>
  </sheetViews>
  <sheetFormatPr baseColWidth="10" defaultColWidth="11.08203125" defaultRowHeight="14.5"/>
  <cols>
    <col min="1" max="1" width="2.08203125" style="618" customWidth="1"/>
    <col min="2" max="2" width="3.58203125" style="612" customWidth="1"/>
    <col min="3" max="3" width="86.25" style="613" customWidth="1"/>
    <col min="4" max="4" width="3.58203125" style="3" customWidth="1"/>
    <col min="5" max="5" width="2.08203125" style="1" customWidth="1"/>
    <col min="6" max="16384" width="11.08203125" style="1"/>
  </cols>
  <sheetData>
    <row r="1" spans="1:7" ht="12" customHeight="1">
      <c r="A1" s="609"/>
      <c r="B1" s="610"/>
      <c r="C1" s="611"/>
      <c r="D1" s="608"/>
      <c r="E1" s="607"/>
    </row>
    <row r="2" spans="1:7" ht="33.5" customHeight="1">
      <c r="A2" s="609"/>
      <c r="C2" s="619" t="s">
        <v>21</v>
      </c>
      <c r="D2" s="50"/>
      <c r="E2" s="606"/>
    </row>
    <row r="3" spans="1:7" ht="43.5">
      <c r="A3" s="609"/>
      <c r="C3" s="1002" t="s">
        <v>1905</v>
      </c>
      <c r="E3" s="606"/>
      <c r="G3" s="996" t="s">
        <v>1886</v>
      </c>
    </row>
    <row r="4" spans="1:7">
      <c r="A4" s="611"/>
      <c r="B4" s="614"/>
      <c r="E4" s="606"/>
      <c r="G4" s="996" t="s">
        <v>1887</v>
      </c>
    </row>
    <row r="5" spans="1:7" ht="108.5" customHeight="1">
      <c r="A5" s="611"/>
      <c r="B5" s="614"/>
      <c r="C5" s="615" t="s">
        <v>1692</v>
      </c>
      <c r="E5" s="606"/>
      <c r="G5" s="1000" t="s">
        <v>1888</v>
      </c>
    </row>
    <row r="6" spans="1:7" ht="161.5">
      <c r="A6" s="611"/>
      <c r="B6" s="614"/>
      <c r="C6" s="967" t="s">
        <v>1856</v>
      </c>
      <c r="E6" s="606"/>
    </row>
    <row r="7" spans="1:7" ht="36.5" customHeight="1">
      <c r="A7" s="611"/>
      <c r="B7" s="614"/>
      <c r="C7" s="1003" t="s">
        <v>1857</v>
      </c>
      <c r="E7" s="606"/>
    </row>
    <row r="8" spans="1:7">
      <c r="A8" s="611"/>
      <c r="B8" s="614"/>
      <c r="C8" s="613" t="s">
        <v>1693</v>
      </c>
      <c r="E8" s="606"/>
    </row>
    <row r="9" spans="1:7">
      <c r="A9" s="611"/>
      <c r="B9" s="614"/>
      <c r="C9" s="1004" t="s">
        <v>1858</v>
      </c>
      <c r="E9" s="606"/>
    </row>
    <row r="10" spans="1:7">
      <c r="A10" s="611"/>
      <c r="B10" s="614"/>
      <c r="C10" s="616"/>
      <c r="E10" s="606"/>
    </row>
    <row r="11" spans="1:7" ht="12" customHeight="1">
      <c r="A11" s="611"/>
      <c r="B11" s="617"/>
      <c r="C11" s="611"/>
      <c r="D11" s="605"/>
      <c r="E11" s="606"/>
    </row>
    <row r="12" spans="1:7">
      <c r="A12" s="613"/>
      <c r="B12" s="614"/>
      <c r="D12" s="1"/>
    </row>
    <row r="13" spans="1:7">
      <c r="A13" s="613"/>
      <c r="B13" s="614"/>
      <c r="D13" s="1"/>
    </row>
    <row r="14" spans="1:7">
      <c r="A14" s="613"/>
      <c r="B14" s="614"/>
      <c r="D14" s="1"/>
    </row>
    <row r="15" spans="1:7">
      <c r="A15" s="613"/>
      <c r="B15" s="614"/>
    </row>
    <row r="16" spans="1:7">
      <c r="A16" s="613"/>
      <c r="B16" s="614"/>
    </row>
    <row r="17" spans="1:2">
      <c r="A17" s="613"/>
      <c r="B17" s="614"/>
    </row>
    <row r="18" spans="1:2">
      <c r="A18" s="613"/>
      <c r="B18" s="614"/>
    </row>
  </sheetData>
  <hyperlinks>
    <hyperlink ref="G3" location="'Aufbau LCC-CO2-Tool'!A1" display="zurück zur Übersicht" xr:uid="{1E2D8166-9409-451D-A500-4794118D4069}"/>
    <hyperlink ref="G4" location="'Anleitung für Beschaffende'!A1" display="zurück zur Anleitung für Beschaffende " xr:uid="{D671F014-A7FE-4AA1-9595-4BC97A2C75BA}"/>
    <hyperlink ref="G5" location="'Anleitung für Bietende'!A1" display="zurück zur Anleitung für Bietende" xr:uid="{5A5F599C-402B-4079-9233-91ACF084A31E}"/>
  </hyperlinks>
  <pageMargins left="0.70866141732283472" right="0.70866141732283472" top="0.78740157480314965" bottom="0.78740157480314965" header="0.31496062992125984" footer="0.31496062992125984"/>
  <pageSetup paperSize="9" scale="87" orientation="portrait" r:id="rId1"/>
  <headerFooter>
    <oddHeader>&amp;C&amp;14&amp;KFF0000TESTVERSION!</oddHeader>
    <oddFooter>&amp;L&amp;8LCC-CO2-Tool - Arbeitshilfe des Umweltbundesamtes&amp;C&amp;8Impressum&amp;R&amp;8&amp;P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9B637-8785-4ADD-A4DA-94E25021B52D}">
  <sheetPr>
    <tabColor theme="0" tint="-4.9989318521683403E-2"/>
    <pageSetUpPr fitToPage="1"/>
  </sheetPr>
  <dimension ref="A1:D52"/>
  <sheetViews>
    <sheetView showGridLines="0" topLeftCell="A12" zoomScaleNormal="100" workbookViewId="0">
      <selection activeCell="A12" sqref="A12"/>
    </sheetView>
  </sheetViews>
  <sheetFormatPr baseColWidth="10" defaultColWidth="11.08203125" defaultRowHeight="14.5"/>
  <cols>
    <col min="1" max="1" width="83.4140625" style="933" customWidth="1"/>
    <col min="2" max="2" width="19.6640625" style="998" customWidth="1"/>
    <col min="3" max="3" width="19.33203125" style="998" customWidth="1"/>
    <col min="4" max="16" width="19.33203125" style="253" customWidth="1"/>
    <col min="17" max="16384" width="11.08203125" style="253"/>
  </cols>
  <sheetData>
    <row r="1" spans="1:3" ht="38.5">
      <c r="A1" s="254" t="s">
        <v>1859</v>
      </c>
    </row>
    <row r="2" spans="1:3" ht="55.5" customHeight="1">
      <c r="A2" s="914" t="s">
        <v>1860</v>
      </c>
    </row>
    <row r="3" spans="1:3">
      <c r="A3" s="312"/>
    </row>
    <row r="4" spans="1:3" ht="24" thickBot="1">
      <c r="A4" s="915" t="s">
        <v>25</v>
      </c>
    </row>
    <row r="5" spans="1:3" ht="29">
      <c r="A5" s="968" t="s">
        <v>26</v>
      </c>
    </row>
    <row r="6" spans="1:3">
      <c r="A6" s="367" t="s">
        <v>27</v>
      </c>
    </row>
    <row r="7" spans="1:3" ht="43.5">
      <c r="A7" s="935" t="s">
        <v>1830</v>
      </c>
    </row>
    <row r="8" spans="1:3">
      <c r="A8" s="312"/>
    </row>
    <row r="9" spans="1:3" ht="23.5">
      <c r="A9" s="917" t="s">
        <v>1863</v>
      </c>
    </row>
    <row r="10" spans="1:3" ht="87">
      <c r="A10" s="346" t="s">
        <v>1869</v>
      </c>
      <c r="B10" s="1000" t="s">
        <v>1891</v>
      </c>
    </row>
    <row r="11" spans="1:3" ht="87">
      <c r="A11" s="346" t="s">
        <v>1911</v>
      </c>
      <c r="B11" s="1000" t="s">
        <v>1896</v>
      </c>
    </row>
    <row r="12" spans="1:3" ht="290">
      <c r="A12" s="346" t="s">
        <v>1877</v>
      </c>
      <c r="B12" s="1000" t="s">
        <v>1892</v>
      </c>
    </row>
    <row r="13" spans="1:3" ht="43.5">
      <c r="A13" s="347" t="s">
        <v>1868</v>
      </c>
      <c r="B13" s="1000" t="s">
        <v>1893</v>
      </c>
    </row>
    <row r="14" spans="1:3" ht="159.5">
      <c r="A14" s="348" t="s">
        <v>1882</v>
      </c>
      <c r="B14" s="999" t="s">
        <v>1897</v>
      </c>
      <c r="C14" s="999" t="s">
        <v>1898</v>
      </c>
    </row>
    <row r="15" spans="1:3" ht="217.5">
      <c r="A15" s="348" t="s">
        <v>1879</v>
      </c>
      <c r="B15" s="999"/>
      <c r="C15" s="999"/>
    </row>
    <row r="16" spans="1:3" ht="333.5">
      <c r="A16" s="348" t="s">
        <v>1880</v>
      </c>
      <c r="B16" s="999"/>
      <c r="C16" s="999"/>
    </row>
    <row r="17" spans="1:4" ht="45.5">
      <c r="A17" s="936" t="s">
        <v>1871</v>
      </c>
      <c r="B17" s="999" t="s">
        <v>1899</v>
      </c>
      <c r="C17" s="999" t="s">
        <v>1900</v>
      </c>
    </row>
    <row r="18" spans="1:4" ht="116">
      <c r="A18" s="937" t="s">
        <v>1872</v>
      </c>
      <c r="B18" s="999" t="s">
        <v>1901</v>
      </c>
      <c r="C18" s="999" t="s">
        <v>1894</v>
      </c>
      <c r="D18" s="999" t="s">
        <v>1895</v>
      </c>
    </row>
    <row r="19" spans="1:4">
      <c r="A19" s="312"/>
      <c r="B19" s="997"/>
    </row>
    <row r="20" spans="1:4" ht="23.5">
      <c r="A20" s="917" t="s">
        <v>1821</v>
      </c>
    </row>
    <row r="21" spans="1:4" ht="14.5" customHeight="1">
      <c r="A21" s="918" t="s">
        <v>30</v>
      </c>
    </row>
    <row r="22" spans="1:4">
      <c r="A22" s="919" t="s">
        <v>31</v>
      </c>
    </row>
    <row r="23" spans="1:4">
      <c r="A23" s="920"/>
    </row>
    <row r="24" spans="1:4" ht="174.5" thickBot="1">
      <c r="A24" s="1005" t="s">
        <v>1881</v>
      </c>
      <c r="B24" s="999" t="s">
        <v>1889</v>
      </c>
      <c r="C24" s="999" t="s">
        <v>1890</v>
      </c>
    </row>
    <row r="25" spans="1:4" ht="15.5" thickTop="1" thickBot="1">
      <c r="A25" s="916"/>
    </row>
    <row r="26" spans="1:4" ht="15" thickTop="1">
      <c r="A26" s="934" t="s">
        <v>1823</v>
      </c>
      <c r="B26" s="1000" t="s">
        <v>1891</v>
      </c>
    </row>
    <row r="27" spans="1:4">
      <c r="A27" s="921"/>
      <c r="B27" s="1000" t="s">
        <v>1896</v>
      </c>
    </row>
    <row r="28" spans="1:4" ht="218" thickBot="1">
      <c r="A28" s="971" t="s">
        <v>1861</v>
      </c>
      <c r="B28" s="1000" t="s">
        <v>1892</v>
      </c>
    </row>
    <row r="29" spans="1:4" ht="15.5" thickTop="1" thickBot="1">
      <c r="A29" s="916"/>
    </row>
    <row r="30" spans="1:4" ht="15" thickTop="1">
      <c r="A30" s="934" t="s">
        <v>1314</v>
      </c>
      <c r="B30" s="1000" t="s">
        <v>1893</v>
      </c>
    </row>
    <row r="31" spans="1:4">
      <c r="A31" s="921"/>
    </row>
    <row r="32" spans="1:4" ht="151" customHeight="1" thickBot="1">
      <c r="A32" s="956" t="s">
        <v>1839</v>
      </c>
    </row>
    <row r="33" spans="1:4" ht="15.5" thickTop="1" thickBot="1">
      <c r="A33" s="916"/>
    </row>
    <row r="34" spans="1:4" ht="15" thickTop="1">
      <c r="A34" s="922" t="s">
        <v>1825</v>
      </c>
    </row>
    <row r="35" spans="1:4" ht="201.5" customHeight="1">
      <c r="A35" s="969" t="s">
        <v>1873</v>
      </c>
      <c r="B35" s="999" t="s">
        <v>1897</v>
      </c>
      <c r="C35" s="999" t="s">
        <v>1898</v>
      </c>
    </row>
    <row r="36" spans="1:4" ht="87">
      <c r="A36" s="969" t="s">
        <v>1874</v>
      </c>
    </row>
    <row r="37" spans="1:4" ht="174">
      <c r="A37" s="969" t="s">
        <v>1865</v>
      </c>
    </row>
    <row r="38" spans="1:4" ht="160.5" customHeight="1" thickBot="1">
      <c r="A38" s="970" t="s">
        <v>1866</v>
      </c>
    </row>
    <row r="39" spans="1:4" ht="15.5" thickTop="1" thickBot="1">
      <c r="A39" s="916"/>
    </row>
    <row r="40" spans="1:4" ht="15" thickTop="1">
      <c r="A40" s="924" t="s">
        <v>1824</v>
      </c>
    </row>
    <row r="41" spans="1:4">
      <c r="A41" s="925"/>
    </row>
    <row r="42" spans="1:4" ht="232.5" thickBot="1">
      <c r="A42" s="926" t="s">
        <v>1870</v>
      </c>
      <c r="B42" s="999" t="s">
        <v>1899</v>
      </c>
      <c r="C42" s="999" t="s">
        <v>1900</v>
      </c>
    </row>
    <row r="43" spans="1:4" ht="15.5" thickTop="1" thickBot="1">
      <c r="A43" s="916"/>
    </row>
    <row r="44" spans="1:4" ht="15" thickTop="1">
      <c r="A44" s="927" t="s">
        <v>1841</v>
      </c>
    </row>
    <row r="45" spans="1:4">
      <c r="A45" s="928"/>
    </row>
    <row r="46" spans="1:4" ht="89.5" thickBot="1">
      <c r="A46" s="929" t="s">
        <v>1842</v>
      </c>
      <c r="B46" s="999" t="s">
        <v>1902</v>
      </c>
      <c r="C46" s="999" t="s">
        <v>1903</v>
      </c>
      <c r="D46" s="999" t="s">
        <v>1904</v>
      </c>
    </row>
    <row r="47" spans="1:4" ht="15.5" thickTop="1" thickBot="1">
      <c r="A47" s="916"/>
      <c r="D47" s="998"/>
    </row>
    <row r="48" spans="1:4" ht="15.5" thickTop="1" thickBot="1">
      <c r="A48" s="930" t="s">
        <v>37</v>
      </c>
      <c r="D48" s="998"/>
    </row>
    <row r="49" spans="1:4" ht="15" thickTop="1">
      <c r="A49" s="931"/>
      <c r="D49" s="998"/>
    </row>
    <row r="50" spans="1:4" ht="101.5">
      <c r="A50" s="931" t="s">
        <v>1862</v>
      </c>
      <c r="B50" s="999" t="s">
        <v>1901</v>
      </c>
      <c r="C50" s="999" t="s">
        <v>1894</v>
      </c>
      <c r="D50" s="999" t="s">
        <v>1895</v>
      </c>
    </row>
    <row r="51" spans="1:4" ht="15" thickBot="1">
      <c r="A51" s="932"/>
    </row>
    <row r="52" spans="1:4" ht="15" thickTop="1">
      <c r="A52" s="916"/>
    </row>
  </sheetData>
  <hyperlinks>
    <hyperlink ref="B10" location="Einmalkosten!A1" display="Zum Tabellenblatt Einmalkosten" xr:uid="{56762D52-5CE3-48F2-8D84-E2D67CA8199F}"/>
    <hyperlink ref="B11" location="'Transport+Installationskosten'!A1" display="Zum Tabellenblatt Transport + Installationskosten" xr:uid="{45D4DE17-7166-4569-90F9-FAD66300F28B}"/>
    <hyperlink ref="B12" location="'Laufende Kosten'!A1" display="Zum Tabellenblatt Laufende Kosten" xr:uid="{4F1EEC81-F57D-4BD9-9743-46259AFAE06F}"/>
    <hyperlink ref="B13" location="Investitionsrechnung!A1" display="Zum Tabellenblatt Investitionsrechnung" xr:uid="{EC5B8F0C-A624-49CF-BD5C-73CFBF9B1C2E}"/>
    <hyperlink ref="B14" location="'THG-Emissionen mit Zertifikat'!A1" display="'THG-Emissionen mit Zertifikat'!A1" xr:uid="{F253B53D-BCE5-43A4-99CB-91CE51AA4E0B}"/>
    <hyperlink ref="C14" location="'THG-Emissionen ohne Zertifikat'!A1" display="'THG-Emissionen ohne Zertifikat'!A1" xr:uid="{537D2ECF-645F-47CC-A51A-CF8667A58C82}"/>
    <hyperlink ref="B17" location="'Ergebnis LCC inkl. CO2-Kosten'!A1" display="'Ergebnis LCC inkl. CO2-Kosten'!A1" xr:uid="{6EED03B5-1890-4205-89A2-ED41554D2129}"/>
    <hyperlink ref="C17" location="'Ergebnis LCC ohne CO2-Kosten'!A1" display="'Ergebnis LCC ohne CO2-Kosten'!A1" xr:uid="{DDA207B2-89A9-4345-8376-BD9524E5122B}"/>
    <hyperlink ref="B18" location="Emissionsfaktoren_Stoffe!A1" display="Emissionsfaktoren_Stoffe!A1" xr:uid="{9FD93D33-CF05-4450-B422-23E903874DAC}"/>
    <hyperlink ref="C18" location="Emissionsfaktoren_Prozesse!A1" display="Zum Tabellenblatt Emissionsfaktoren Prozesse" xr:uid="{BA7A14FB-A18B-49AF-B3F9-FFDE03D7C913}"/>
    <hyperlink ref="B24" location="'Punktevergabe Übersicht'!A1" display="zum Tabellenblatt Punktevergabe Übersicht" xr:uid="{5377FE89-957D-4F22-8C4F-23FD926DA74D}"/>
    <hyperlink ref="C24" location="'Punktevergabe Details'!A1" display="zum Tabellenblatt Punktevergabe Details" xr:uid="{494CB873-1B10-4E3D-93EB-D8069B5BA7D2}"/>
    <hyperlink ref="B26" location="Einmalkosten!A1" display="Zum Tabellenblatt Einmalkosten" xr:uid="{1F232938-C5F7-4EDF-8DCE-00672363F142}"/>
    <hyperlink ref="B27" location="'Transport+Installationskosten'!A1" display="Zum Tabellenblatt Transport + Installationskosten" xr:uid="{CF245A2C-62E6-4E9F-9146-06FDEDBF4CC7}"/>
    <hyperlink ref="B28" location="'Laufende Kosten'!A1" display="Zum Tabellenblatt Laufende Kosten" xr:uid="{0FB52440-3B7C-4363-B437-4CCAB4C4ECD7}"/>
    <hyperlink ref="B30" location="Investitionsrechnung!A1" display="Zum Tabellenblatt Investitionsrechnung" xr:uid="{9CC2B99C-9CD5-4262-A697-11B1CA0309B6}"/>
    <hyperlink ref="B35" location="'THG-Emissionen mit Zertifikat'!A1" display="'THG-Emissionen mit Zertifikat'!A1" xr:uid="{DA05AD5E-26C0-4FEB-B476-E85EFBBB7BE0}"/>
    <hyperlink ref="C35" location="'THG-Emissionen ohne Zertifikat'!A1" display="'THG-Emissionen ohne Zertifikat'!A1" xr:uid="{176CADDC-C72A-40A7-BEF9-E022F32E273C}"/>
    <hyperlink ref="B42" location="'Ergebnis LCC inkl. CO2-Kosten'!A1" display="'Ergebnis LCC inkl. CO2-Kosten'!A1" xr:uid="{5F75D9FC-40AC-4B4F-B3B7-D13EF2EA19F3}"/>
    <hyperlink ref="C42" location="'Ergebnis LCC ohne CO2-Kosten'!A1" display="'Ergebnis LCC ohne CO2-Kosten'!A1" xr:uid="{9C33CDF8-5CF0-4C55-B1C0-231B313F494E}"/>
    <hyperlink ref="C46" location="'Transport + Installation'!A1" display="Zum Tabellenblatt Transport+Installation" xr:uid="{63D1528B-44FD-40CC-AB42-C69FF8BE814A}"/>
    <hyperlink ref="B50" location="Emissionsfaktoren_Stoffe!A1" display="Emissionsfaktoren_Stoffe!A1" xr:uid="{74ADC202-9843-481C-95FC-314DF206B2D5}"/>
    <hyperlink ref="C50" location="Emissionsfaktoren_Prozesse!A1" display="Zum Tabellenblatt Emissionsfaktoren Prozesse" xr:uid="{DB5CFA54-2DA7-4B08-B442-A7B5561C094E}"/>
    <hyperlink ref="B46" location="Produktion!A1" display="Produktion!A1" xr:uid="{BB7915F9-864E-4C46-B29F-A7BFA96560ED}"/>
    <hyperlink ref="D18" location="Emissionsfaktoren_Lebenszyklus!A1" display="Zum Tabellenblatt Emissionsfaktoren Lebenszyklus" xr:uid="{CC981F7E-7744-4AE8-85BE-5162AC1E05BF}"/>
    <hyperlink ref="D46" location="Nutzung!A1" display="Zum Tabellenblatt Nutzung" xr:uid="{CABABD45-9744-42D7-83F9-6E3B38B575D0}"/>
    <hyperlink ref="D50" location="Emissionsfaktoren_Lebenszyklus!A1" display="Zum Tabellenblatt Emissionsfaktoren Lebenszyklus" xr:uid="{8E25B9BF-10C1-4F6B-8A82-F95CE0A0BD92}"/>
  </hyperlinks>
  <pageMargins left="0.70866141732283472" right="0.70866141732283472" top="0.78740157480314965" bottom="0.78740157480314965" header="0.31496062992125984" footer="0.31496062992125984"/>
  <pageSetup paperSize="9" scale="98" fitToHeight="0" orientation="portrait" r:id="rId1"/>
  <headerFooter>
    <oddHeader>&amp;C&amp;14&amp;KFF0000TESTVERSION!</oddHeader>
    <oddFooter>&amp;L&amp;8LCC-CO2-Tool - Arbeitshilfe des Umweltbundesamtes&amp;C&amp;8Anleitung für Beschaffende&amp;R&amp;8&amp;P</oddFooter>
  </headerFooter>
  <rowBreaks count="2" manualBreakCount="2">
    <brk id="18" max="16383" man="1"/>
    <brk id="3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56BA0-582D-48C6-B0A4-CB87F89A22F2}">
  <sheetPr codeName="Tabelle18">
    <tabColor theme="0" tint="-4.9989318521683403E-2"/>
  </sheetPr>
  <dimension ref="A1:S97"/>
  <sheetViews>
    <sheetView topLeftCell="A76" zoomScaleNormal="100" workbookViewId="0">
      <selection activeCell="D27" sqref="D27"/>
    </sheetView>
  </sheetViews>
  <sheetFormatPr baseColWidth="10" defaultColWidth="11.08203125" defaultRowHeight="14.5"/>
  <cols>
    <col min="1" max="1" width="2.08203125" style="55" customWidth="1"/>
    <col min="2" max="3" width="11.08203125" style="55"/>
    <col min="4" max="4" width="13.83203125" style="55" customWidth="1"/>
    <col min="5" max="5" width="17.75" style="55" customWidth="1"/>
    <col min="6" max="18" width="11.08203125" style="55"/>
    <col min="19" max="19" width="48.08203125" style="55" customWidth="1"/>
    <col min="20" max="16384" width="11.08203125" style="55"/>
  </cols>
  <sheetData>
    <row r="1" spans="1:19" ht="66.650000000000006" customHeight="1">
      <c r="A1" s="358"/>
      <c r="B1" s="197" t="s">
        <v>38</v>
      </c>
      <c r="C1" s="369"/>
      <c r="D1" s="369"/>
      <c r="E1" s="369"/>
      <c r="F1" s="358"/>
      <c r="G1" s="358"/>
      <c r="H1" s="68"/>
      <c r="I1" s="68"/>
      <c r="J1" s="68"/>
      <c r="K1" s="68"/>
      <c r="L1" s="68"/>
      <c r="M1" s="358"/>
      <c r="N1" s="358"/>
      <c r="O1" s="358"/>
      <c r="P1" s="358"/>
      <c r="Q1" s="358"/>
      <c r="R1" s="358"/>
      <c r="S1" s="358"/>
    </row>
    <row r="3" spans="1:19" ht="23.5">
      <c r="A3" s="358"/>
      <c r="B3" s="96" t="s">
        <v>39</v>
      </c>
      <c r="C3" s="358"/>
      <c r="D3" s="358"/>
      <c r="E3" s="358"/>
      <c r="F3" s="358"/>
      <c r="G3" s="358"/>
      <c r="H3" s="358"/>
      <c r="I3" s="358"/>
      <c r="J3" s="358"/>
      <c r="K3" s="358"/>
      <c r="L3" s="358"/>
      <c r="M3" s="358"/>
      <c r="N3" s="358"/>
      <c r="O3" s="358"/>
      <c r="P3" s="358"/>
      <c r="Q3" s="358"/>
      <c r="R3" s="358"/>
      <c r="S3" s="358"/>
    </row>
    <row r="5" spans="1:19">
      <c r="A5" s="358"/>
      <c r="B5" s="358" t="s">
        <v>40</v>
      </c>
      <c r="C5" s="358"/>
      <c r="D5" s="358"/>
      <c r="E5" s="358"/>
      <c r="F5" s="358"/>
      <c r="G5" s="358"/>
      <c r="H5" s="358"/>
      <c r="I5" s="358"/>
      <c r="J5" s="358"/>
      <c r="K5" s="358"/>
      <c r="L5" s="358"/>
      <c r="M5" s="358"/>
      <c r="N5" s="358"/>
      <c r="O5" s="358"/>
      <c r="P5" s="358"/>
      <c r="Q5" s="358"/>
      <c r="R5" s="358"/>
      <c r="S5" s="358"/>
    </row>
    <row r="7" spans="1:19">
      <c r="A7" s="358"/>
      <c r="B7" s="358" t="s">
        <v>41</v>
      </c>
      <c r="C7" s="358"/>
      <c r="D7" s="370" t="s">
        <v>42</v>
      </c>
      <c r="E7" s="370"/>
      <c r="F7" s="358"/>
      <c r="G7" s="371" t="s">
        <v>43</v>
      </c>
      <c r="H7" s="372"/>
      <c r="I7" s="372"/>
      <c r="J7" s="372"/>
      <c r="K7" s="372"/>
      <c r="L7" s="373"/>
      <c r="M7" s="358"/>
      <c r="N7" s="358"/>
      <c r="O7" s="358"/>
      <c r="P7" s="358"/>
      <c r="Q7" s="358"/>
      <c r="R7" s="358"/>
      <c r="S7" s="358"/>
    </row>
    <row r="8" spans="1:19">
      <c r="A8" s="358"/>
      <c r="B8" s="358"/>
      <c r="C8" s="358"/>
      <c r="D8" s="374" t="s">
        <v>44</v>
      </c>
      <c r="E8" s="374"/>
      <c r="F8" s="358"/>
      <c r="G8" s="375" t="s">
        <v>45</v>
      </c>
      <c r="H8" s="376"/>
      <c r="I8" s="376"/>
      <c r="J8" s="376"/>
      <c r="K8" s="376"/>
      <c r="L8" s="377"/>
      <c r="M8" s="358"/>
      <c r="N8" s="358"/>
      <c r="O8" s="358"/>
      <c r="P8" s="358"/>
      <c r="Q8" s="358"/>
      <c r="R8" s="358"/>
      <c r="S8" s="358"/>
    </row>
    <row r="10" spans="1:19" ht="15" thickBot="1">
      <c r="A10" s="358"/>
      <c r="B10" s="358"/>
      <c r="C10" s="358"/>
      <c r="D10" s="358"/>
      <c r="E10" s="358"/>
      <c r="F10" s="358"/>
      <c r="G10" s="358"/>
      <c r="H10" s="358"/>
      <c r="I10" s="358"/>
      <c r="J10" s="358"/>
      <c r="K10" s="358"/>
      <c r="L10" s="358"/>
      <c r="M10" s="358"/>
      <c r="N10" s="358"/>
      <c r="O10" s="358"/>
      <c r="P10" s="358"/>
      <c r="Q10" s="358"/>
      <c r="R10" s="358"/>
      <c r="S10" s="358"/>
    </row>
    <row r="11" spans="1:19" ht="15" thickTop="1">
      <c r="A11" s="358"/>
      <c r="B11" s="124" t="s">
        <v>46</v>
      </c>
      <c r="C11" s="378"/>
      <c r="D11" s="378"/>
      <c r="E11" s="125"/>
      <c r="F11" s="125"/>
      <c r="G11" s="125"/>
      <c r="H11" s="125"/>
      <c r="I11" s="125"/>
      <c r="J11" s="125"/>
      <c r="K11" s="125"/>
      <c r="L11" s="125"/>
      <c r="M11" s="125"/>
      <c r="N11" s="125"/>
      <c r="O11" s="125"/>
      <c r="P11" s="125"/>
      <c r="Q11" s="125"/>
      <c r="R11" s="125"/>
      <c r="S11" s="126"/>
    </row>
    <row r="12" spans="1:19">
      <c r="A12" s="358"/>
      <c r="B12" s="379"/>
      <c r="C12" s="358"/>
      <c r="D12" s="358"/>
      <c r="E12" s="358"/>
      <c r="F12" s="358"/>
      <c r="G12" s="358"/>
      <c r="H12" s="358"/>
      <c r="I12" s="358"/>
      <c r="J12" s="358"/>
      <c r="K12" s="358"/>
      <c r="L12" s="358"/>
      <c r="M12" s="358"/>
      <c r="N12" s="358"/>
      <c r="O12" s="358"/>
      <c r="P12" s="358"/>
      <c r="Q12" s="358"/>
      <c r="R12" s="358"/>
      <c r="S12" s="380"/>
    </row>
    <row r="13" spans="1:19">
      <c r="A13" s="358"/>
      <c r="B13" s="379"/>
      <c r="C13" s="358"/>
      <c r="D13" s="358"/>
      <c r="E13" s="358"/>
      <c r="F13" s="358"/>
      <c r="G13" s="358"/>
      <c r="H13" s="358"/>
      <c r="I13" s="358"/>
      <c r="J13" s="358"/>
      <c r="K13" s="358"/>
      <c r="L13" s="358"/>
      <c r="M13" s="358"/>
      <c r="N13" s="358"/>
      <c r="O13" s="358"/>
      <c r="P13" s="358"/>
      <c r="Q13" s="358"/>
      <c r="R13" s="358"/>
      <c r="S13" s="380"/>
    </row>
    <row r="14" spans="1:19">
      <c r="A14" s="358"/>
      <c r="B14" s="379"/>
      <c r="C14" s="358"/>
      <c r="D14" s="358"/>
      <c r="E14" s="358"/>
      <c r="F14" s="358"/>
      <c r="G14" s="358"/>
      <c r="H14" s="358"/>
      <c r="I14" s="358"/>
      <c r="J14" s="358"/>
      <c r="K14" s="358"/>
      <c r="L14" s="358"/>
      <c r="M14" s="358"/>
      <c r="N14" s="358"/>
      <c r="O14" s="358"/>
      <c r="P14" s="358"/>
      <c r="Q14" s="358"/>
      <c r="R14" s="358"/>
      <c r="S14" s="380"/>
    </row>
    <row r="15" spans="1:19">
      <c r="A15" s="358"/>
      <c r="B15" s="381" t="s">
        <v>47</v>
      </c>
      <c r="C15" s="382"/>
      <c r="D15" s="382"/>
      <c r="E15" s="358"/>
      <c r="F15" s="358"/>
      <c r="G15" s="358"/>
      <c r="H15" s="358"/>
      <c r="I15" s="358"/>
      <c r="J15" s="358"/>
      <c r="K15" s="358"/>
      <c r="L15" s="358"/>
      <c r="M15" s="358"/>
      <c r="N15" s="358"/>
      <c r="O15" s="358"/>
      <c r="P15" s="358"/>
      <c r="Q15" s="358"/>
      <c r="R15" s="358"/>
      <c r="S15" s="380"/>
    </row>
    <row r="16" spans="1:19">
      <c r="A16" s="358"/>
      <c r="B16" s="223" t="s">
        <v>48</v>
      </c>
      <c r="C16" s="382"/>
      <c r="D16" s="382"/>
      <c r="E16" s="382"/>
      <c r="F16" s="382"/>
      <c r="G16" s="358"/>
      <c r="H16" s="358"/>
      <c r="I16" s="358"/>
      <c r="J16" s="358"/>
      <c r="K16" s="358"/>
      <c r="L16" s="358"/>
      <c r="M16" s="358"/>
      <c r="N16" s="358"/>
      <c r="O16" s="358"/>
      <c r="P16" s="358"/>
      <c r="Q16" s="358"/>
      <c r="R16" s="358"/>
      <c r="S16" s="380"/>
    </row>
    <row r="17" spans="1:19">
      <c r="A17" s="358"/>
      <c r="B17" s="223" t="s">
        <v>49</v>
      </c>
      <c r="C17" s="382"/>
      <c r="D17" s="382"/>
      <c r="E17" s="382"/>
      <c r="F17" s="382"/>
      <c r="G17" s="358"/>
      <c r="H17" s="358"/>
      <c r="I17" s="358"/>
      <c r="J17" s="358"/>
      <c r="K17" s="358"/>
      <c r="L17" s="358"/>
      <c r="M17" s="358"/>
      <c r="N17" s="358"/>
      <c r="O17" s="358"/>
      <c r="P17" s="358"/>
      <c r="Q17" s="358"/>
      <c r="R17" s="358"/>
      <c r="S17" s="380"/>
    </row>
    <row r="18" spans="1:19">
      <c r="A18" s="358"/>
      <c r="B18" s="379"/>
      <c r="C18" s="358"/>
      <c r="D18" s="358"/>
      <c r="E18" s="358"/>
      <c r="F18" s="358"/>
      <c r="G18" s="358"/>
      <c r="H18" s="358"/>
      <c r="I18" s="358"/>
      <c r="J18" s="358"/>
      <c r="K18" s="358"/>
      <c r="L18" s="358"/>
      <c r="M18" s="358"/>
      <c r="N18" s="358"/>
      <c r="O18" s="358"/>
      <c r="P18" s="358"/>
      <c r="Q18" s="358"/>
      <c r="R18" s="358"/>
      <c r="S18" s="380"/>
    </row>
    <row r="19" spans="1:19">
      <c r="A19" s="358"/>
      <c r="B19" s="379"/>
      <c r="C19" s="358"/>
      <c r="D19" s="358"/>
      <c r="E19" s="358"/>
      <c r="F19" s="358"/>
      <c r="G19" s="358"/>
      <c r="H19" s="358"/>
      <c r="I19" s="358"/>
      <c r="J19" s="358"/>
      <c r="K19" s="358"/>
      <c r="L19" s="358"/>
      <c r="M19" s="358"/>
      <c r="N19" s="358"/>
      <c r="O19" s="358"/>
      <c r="P19" s="358"/>
      <c r="Q19" s="358"/>
      <c r="R19" s="358"/>
      <c r="S19" s="380"/>
    </row>
    <row r="20" spans="1:19" ht="15" thickBot="1">
      <c r="A20" s="358"/>
      <c r="B20" s="383"/>
      <c r="C20" s="384"/>
      <c r="D20" s="384"/>
      <c r="E20" s="384"/>
      <c r="F20" s="384"/>
      <c r="G20" s="384"/>
      <c r="H20" s="384"/>
      <c r="I20" s="384"/>
      <c r="J20" s="384"/>
      <c r="K20" s="384"/>
      <c r="L20" s="384"/>
      <c r="M20" s="384"/>
      <c r="N20" s="384"/>
      <c r="O20" s="384"/>
      <c r="P20" s="384"/>
      <c r="Q20" s="384"/>
      <c r="R20" s="384"/>
      <c r="S20" s="385"/>
    </row>
    <row r="21" spans="1:19" ht="15.5" thickTop="1" thickBot="1">
      <c r="A21" s="358"/>
      <c r="B21" s="358"/>
      <c r="C21" s="358"/>
      <c r="D21" s="358"/>
      <c r="E21" s="358"/>
      <c r="F21" s="358"/>
      <c r="G21" s="358"/>
      <c r="H21" s="358"/>
      <c r="I21" s="358"/>
      <c r="J21" s="358"/>
      <c r="K21" s="358"/>
      <c r="L21" s="358"/>
      <c r="M21" s="358"/>
      <c r="N21" s="358"/>
      <c r="O21" s="358"/>
      <c r="P21" s="358"/>
      <c r="Q21" s="358"/>
      <c r="R21" s="358"/>
      <c r="S21" s="358"/>
    </row>
    <row r="22" spans="1:19" ht="15" thickTop="1">
      <c r="A22" s="358"/>
      <c r="B22" s="135" t="s">
        <v>32</v>
      </c>
      <c r="C22" s="136"/>
      <c r="D22" s="136"/>
      <c r="E22" s="136"/>
      <c r="F22" s="136"/>
      <c r="G22" s="136"/>
      <c r="H22" s="136"/>
      <c r="I22" s="136"/>
      <c r="J22" s="136"/>
      <c r="K22" s="136"/>
      <c r="L22" s="136"/>
      <c r="M22" s="136"/>
      <c r="N22" s="136"/>
      <c r="O22" s="136"/>
      <c r="P22" s="136"/>
      <c r="Q22" s="136"/>
      <c r="R22" s="136"/>
      <c r="S22" s="137"/>
    </row>
    <row r="23" spans="1:19">
      <c r="A23" s="358"/>
      <c r="B23" s="143"/>
      <c r="C23" s="62"/>
      <c r="D23" s="62"/>
      <c r="E23" s="62"/>
      <c r="F23" s="62"/>
      <c r="G23" s="62"/>
      <c r="H23" s="62"/>
      <c r="I23" s="62"/>
      <c r="J23" s="62"/>
      <c r="K23" s="62"/>
      <c r="L23" s="62"/>
      <c r="M23" s="62"/>
      <c r="N23" s="62"/>
      <c r="O23" s="62"/>
      <c r="P23" s="62"/>
      <c r="Q23" s="62"/>
      <c r="R23" s="62"/>
      <c r="S23" s="138"/>
    </row>
    <row r="24" spans="1:19" ht="15" thickBot="1">
      <c r="A24" s="358"/>
      <c r="B24" s="144" t="s">
        <v>50</v>
      </c>
      <c r="C24" s="139"/>
      <c r="D24" s="139"/>
      <c r="E24" s="139"/>
      <c r="F24" s="139"/>
      <c r="G24" s="139"/>
      <c r="H24" s="139"/>
      <c r="I24" s="139"/>
      <c r="J24" s="139"/>
      <c r="K24" s="139"/>
      <c r="L24" s="139"/>
      <c r="M24" s="139"/>
      <c r="N24" s="139"/>
      <c r="O24" s="139"/>
      <c r="P24" s="139"/>
      <c r="Q24" s="139"/>
      <c r="R24" s="139"/>
      <c r="S24" s="140"/>
    </row>
    <row r="25" spans="1:19" ht="15.5" thickTop="1" thickBot="1">
      <c r="A25" s="358"/>
      <c r="B25" s="62"/>
      <c r="C25" s="62"/>
      <c r="D25" s="62"/>
      <c r="E25" s="62"/>
      <c r="F25" s="62"/>
      <c r="G25" s="62"/>
      <c r="H25" s="62"/>
      <c r="I25" s="62"/>
      <c r="J25" s="62"/>
      <c r="K25" s="62"/>
      <c r="L25" s="62"/>
      <c r="M25" s="62"/>
      <c r="N25" s="62"/>
      <c r="O25" s="62"/>
      <c r="P25" s="62"/>
      <c r="Q25" s="62"/>
      <c r="R25" s="62"/>
      <c r="S25" s="62"/>
    </row>
    <row r="26" spans="1:19" ht="15" thickTop="1">
      <c r="A26" s="358"/>
      <c r="B26" s="135" t="s">
        <v>33</v>
      </c>
      <c r="C26" s="136"/>
      <c r="D26" s="136"/>
      <c r="E26" s="136"/>
      <c r="F26" s="136"/>
      <c r="G26" s="136"/>
      <c r="H26" s="136"/>
      <c r="I26" s="136"/>
      <c r="J26" s="136"/>
      <c r="K26" s="136"/>
      <c r="L26" s="136"/>
      <c r="M26" s="136"/>
      <c r="N26" s="136"/>
      <c r="O26" s="136"/>
      <c r="P26" s="136"/>
      <c r="Q26" s="136"/>
      <c r="R26" s="136"/>
      <c r="S26" s="137"/>
    </row>
    <row r="27" spans="1:19">
      <c r="A27" s="358"/>
      <c r="B27" s="143"/>
      <c r="C27" s="62"/>
      <c r="D27" s="62"/>
      <c r="E27" s="62"/>
      <c r="F27" s="62"/>
      <c r="G27" s="62"/>
      <c r="H27" s="62"/>
      <c r="I27" s="62"/>
      <c r="J27" s="62"/>
      <c r="K27" s="62"/>
      <c r="L27" s="62"/>
      <c r="M27" s="62"/>
      <c r="N27" s="62"/>
      <c r="O27" s="62"/>
      <c r="P27" s="62"/>
      <c r="Q27" s="62"/>
      <c r="R27" s="62"/>
      <c r="S27" s="138"/>
    </row>
    <row r="28" spans="1:19" ht="15" thickBot="1">
      <c r="A28" s="358"/>
      <c r="B28" s="144" t="s">
        <v>51</v>
      </c>
      <c r="C28" s="139"/>
      <c r="D28" s="139"/>
      <c r="E28" s="139"/>
      <c r="F28" s="139"/>
      <c r="G28" s="139"/>
      <c r="H28" s="139"/>
      <c r="I28" s="139"/>
      <c r="J28" s="139"/>
      <c r="K28" s="139"/>
      <c r="L28" s="139"/>
      <c r="M28" s="139"/>
      <c r="N28" s="139"/>
      <c r="O28" s="139"/>
      <c r="P28" s="139"/>
      <c r="Q28" s="139"/>
      <c r="R28" s="139"/>
      <c r="S28" s="140"/>
    </row>
    <row r="29" spans="1:19" ht="15.5" thickTop="1" thickBot="1">
      <c r="A29" s="358"/>
      <c r="B29" s="358"/>
      <c r="C29" s="358"/>
      <c r="D29" s="358"/>
      <c r="E29" s="358"/>
      <c r="F29" s="358"/>
      <c r="G29" s="358"/>
      <c r="H29" s="358"/>
      <c r="I29" s="358"/>
      <c r="J29" s="358"/>
      <c r="K29" s="358"/>
      <c r="L29" s="358"/>
      <c r="M29" s="358"/>
      <c r="N29" s="358"/>
      <c r="O29" s="358"/>
      <c r="P29" s="358"/>
      <c r="Q29" s="358"/>
      <c r="R29" s="358"/>
      <c r="S29" s="358"/>
    </row>
    <row r="30" spans="1:19" ht="15" thickTop="1">
      <c r="A30" s="358"/>
      <c r="B30" s="135" t="s">
        <v>34</v>
      </c>
      <c r="C30" s="136"/>
      <c r="D30" s="136"/>
      <c r="E30" s="136"/>
      <c r="F30" s="386"/>
      <c r="G30" s="386"/>
      <c r="H30" s="386"/>
      <c r="I30" s="386"/>
      <c r="J30" s="386"/>
      <c r="K30" s="386"/>
      <c r="L30" s="386"/>
      <c r="M30" s="386"/>
      <c r="N30" s="386"/>
      <c r="O30" s="386"/>
      <c r="P30" s="386"/>
      <c r="Q30" s="386"/>
      <c r="R30" s="386"/>
      <c r="S30" s="387"/>
    </row>
    <row r="31" spans="1:19">
      <c r="A31" s="358"/>
      <c r="B31" s="388"/>
      <c r="C31" s="358"/>
      <c r="D31" s="358"/>
      <c r="E31" s="358"/>
      <c r="F31" s="358"/>
      <c r="G31" s="358"/>
      <c r="H31" s="358"/>
      <c r="I31" s="358"/>
      <c r="J31" s="358"/>
      <c r="K31" s="358"/>
      <c r="L31" s="358"/>
      <c r="M31" s="358"/>
      <c r="N31" s="358"/>
      <c r="O31" s="358"/>
      <c r="P31" s="358"/>
      <c r="Q31" s="358"/>
      <c r="R31" s="358"/>
      <c r="S31" s="389"/>
    </row>
    <row r="32" spans="1:19">
      <c r="A32" s="358"/>
      <c r="B32" s="388" t="s">
        <v>52</v>
      </c>
      <c r="C32" s="358"/>
      <c r="D32" s="358"/>
      <c r="E32" s="358"/>
      <c r="F32" s="358"/>
      <c r="G32" s="358"/>
      <c r="H32" s="358"/>
      <c r="I32" s="358"/>
      <c r="J32" s="358"/>
      <c r="K32" s="358"/>
      <c r="L32" s="358"/>
      <c r="M32" s="358"/>
      <c r="N32" s="358"/>
      <c r="O32" s="358"/>
      <c r="P32" s="358"/>
      <c r="Q32" s="358"/>
      <c r="R32" s="358"/>
      <c r="S32" s="389"/>
    </row>
    <row r="33" spans="2:19">
      <c r="B33" s="388" t="s">
        <v>53</v>
      </c>
      <c r="C33" s="358"/>
      <c r="D33" s="358"/>
      <c r="E33" s="358"/>
      <c r="F33" s="358"/>
      <c r="G33" s="358"/>
      <c r="H33" s="358"/>
      <c r="I33" s="358"/>
      <c r="J33" s="358"/>
      <c r="K33" s="358"/>
      <c r="L33" s="358"/>
      <c r="M33" s="358"/>
      <c r="N33" s="358"/>
      <c r="O33" s="358"/>
      <c r="P33" s="358"/>
      <c r="Q33" s="358"/>
      <c r="R33" s="358"/>
      <c r="S33" s="389"/>
    </row>
    <row r="34" spans="2:19">
      <c r="B34" s="388" t="s">
        <v>54</v>
      </c>
      <c r="C34" s="358"/>
      <c r="D34" s="358"/>
      <c r="E34" s="358"/>
      <c r="F34" s="358"/>
      <c r="G34" s="358"/>
      <c r="H34" s="358"/>
      <c r="I34" s="358"/>
      <c r="J34" s="358"/>
      <c r="K34" s="358"/>
      <c r="L34" s="358"/>
      <c r="M34" s="358"/>
      <c r="N34" s="358"/>
      <c r="O34" s="358"/>
      <c r="P34" s="358"/>
      <c r="Q34" s="358"/>
      <c r="R34" s="358"/>
      <c r="S34" s="389"/>
    </row>
    <row r="35" spans="2:19" ht="15" thickBot="1">
      <c r="B35" s="390" t="s">
        <v>55</v>
      </c>
      <c r="C35" s="391"/>
      <c r="D35" s="391"/>
      <c r="E35" s="391"/>
      <c r="F35" s="391"/>
      <c r="G35" s="391"/>
      <c r="H35" s="391"/>
      <c r="I35" s="391"/>
      <c r="J35" s="391"/>
      <c r="K35" s="391"/>
      <c r="L35" s="391"/>
      <c r="M35" s="391"/>
      <c r="N35" s="391"/>
      <c r="O35" s="391"/>
      <c r="P35" s="391"/>
      <c r="Q35" s="391"/>
      <c r="R35" s="391"/>
      <c r="S35" s="392"/>
    </row>
    <row r="36" spans="2:19" ht="15.5" thickTop="1" thickBot="1">
      <c r="B36" s="358"/>
      <c r="C36" s="358"/>
      <c r="D36" s="358"/>
      <c r="E36" s="358"/>
      <c r="F36" s="358"/>
      <c r="G36" s="358"/>
      <c r="H36" s="358"/>
      <c r="I36" s="358"/>
      <c r="J36" s="358"/>
      <c r="K36" s="358"/>
      <c r="L36" s="358"/>
      <c r="M36" s="358"/>
      <c r="N36" s="358"/>
      <c r="O36" s="358"/>
      <c r="P36" s="358"/>
      <c r="Q36" s="358"/>
      <c r="R36" s="358"/>
      <c r="S36" s="358"/>
    </row>
    <row r="37" spans="2:19" s="253" customFormat="1" ht="15" thickTop="1">
      <c r="B37" s="255" t="s">
        <v>1314</v>
      </c>
    </row>
    <row r="38" spans="2:19" s="253" customFormat="1">
      <c r="B38" s="368"/>
    </row>
    <row r="39" spans="2:19" s="253" customFormat="1" ht="15" thickBot="1">
      <c r="B39" s="589" t="s">
        <v>1315</v>
      </c>
    </row>
    <row r="40" spans="2:19" s="253" customFormat="1" ht="15.5" thickTop="1" thickBot="1">
      <c r="B40" s="365"/>
    </row>
    <row r="41" spans="2:19" ht="15" thickTop="1">
      <c r="B41" s="172" t="s">
        <v>35</v>
      </c>
      <c r="C41" s="393"/>
      <c r="D41" s="393"/>
      <c r="E41" s="393"/>
      <c r="F41" s="393"/>
      <c r="G41" s="393"/>
      <c r="H41" s="393"/>
      <c r="I41" s="393"/>
      <c r="J41" s="393"/>
      <c r="K41" s="393"/>
      <c r="L41" s="393"/>
      <c r="M41" s="393"/>
      <c r="N41" s="393"/>
      <c r="O41" s="393"/>
      <c r="P41" s="393"/>
      <c r="Q41" s="393"/>
      <c r="R41" s="393"/>
      <c r="S41" s="394"/>
    </row>
    <row r="42" spans="2:19">
      <c r="B42" s="395"/>
      <c r="C42" s="358"/>
      <c r="D42" s="358"/>
      <c r="E42" s="358"/>
      <c r="F42" s="358"/>
      <c r="G42" s="358"/>
      <c r="H42" s="358"/>
      <c r="I42" s="358"/>
      <c r="J42" s="358"/>
      <c r="K42" s="358"/>
      <c r="L42" s="358"/>
      <c r="M42" s="358"/>
      <c r="N42" s="358"/>
      <c r="O42" s="358"/>
      <c r="P42" s="358"/>
      <c r="Q42" s="358"/>
      <c r="R42" s="358"/>
      <c r="S42" s="396"/>
    </row>
    <row r="43" spans="2:19">
      <c r="B43" s="395" t="s">
        <v>56</v>
      </c>
      <c r="C43" s="358"/>
      <c r="D43" s="358"/>
      <c r="E43" s="358"/>
      <c r="F43" s="358"/>
      <c r="G43" s="358"/>
      <c r="H43" s="358"/>
      <c r="I43" s="358"/>
      <c r="J43" s="358"/>
      <c r="K43" s="358"/>
      <c r="L43" s="358"/>
      <c r="M43" s="358"/>
      <c r="N43" s="358"/>
      <c r="O43" s="358"/>
      <c r="P43" s="358"/>
      <c r="Q43" s="358"/>
      <c r="R43" s="358"/>
      <c r="S43" s="396"/>
    </row>
    <row r="44" spans="2:19">
      <c r="B44" s="395" t="s">
        <v>57</v>
      </c>
      <c r="C44" s="358"/>
      <c r="D44" s="358"/>
      <c r="E44" s="358"/>
      <c r="F44" s="358"/>
      <c r="G44" s="358"/>
      <c r="H44" s="358"/>
      <c r="I44" s="358"/>
      <c r="J44" s="358"/>
      <c r="K44" s="358"/>
      <c r="L44" s="358"/>
      <c r="M44" s="358"/>
      <c r="N44" s="358"/>
      <c r="O44" s="358"/>
      <c r="P44" s="358"/>
      <c r="Q44" s="358"/>
      <c r="R44" s="358"/>
      <c r="S44" s="396"/>
    </row>
    <row r="45" spans="2:19">
      <c r="B45" s="395" t="s">
        <v>58</v>
      </c>
      <c r="C45" s="358"/>
      <c r="D45" s="358"/>
      <c r="E45" s="358"/>
      <c r="F45" s="358"/>
      <c r="G45" s="358"/>
      <c r="H45" s="358"/>
      <c r="I45" s="358"/>
      <c r="J45" s="358"/>
      <c r="K45" s="358"/>
      <c r="L45" s="358"/>
      <c r="M45" s="358"/>
      <c r="N45" s="358"/>
      <c r="O45" s="358"/>
      <c r="P45" s="358"/>
      <c r="Q45" s="358"/>
      <c r="R45" s="358"/>
      <c r="S45" s="396"/>
    </row>
    <row r="46" spans="2:19">
      <c r="B46" s="395" t="s">
        <v>59</v>
      </c>
      <c r="C46" s="358"/>
      <c r="D46" s="358"/>
      <c r="E46" s="358"/>
      <c r="F46" s="358"/>
      <c r="G46" s="358"/>
      <c r="H46" s="358"/>
      <c r="I46" s="358"/>
      <c r="J46" s="358"/>
      <c r="K46" s="358"/>
      <c r="L46" s="358"/>
      <c r="M46" s="358"/>
      <c r="N46" s="358"/>
      <c r="O46" s="358"/>
      <c r="P46" s="358"/>
      <c r="Q46" s="358"/>
      <c r="R46" s="358"/>
      <c r="S46" s="396"/>
    </row>
    <row r="47" spans="2:19">
      <c r="B47" s="395"/>
      <c r="C47" s="358"/>
      <c r="D47" s="358"/>
      <c r="E47" s="358"/>
      <c r="F47" s="358"/>
      <c r="G47" s="358"/>
      <c r="H47" s="358"/>
      <c r="I47" s="358"/>
      <c r="J47" s="358"/>
      <c r="K47" s="358"/>
      <c r="L47" s="358"/>
      <c r="M47" s="358"/>
      <c r="N47" s="358"/>
      <c r="O47" s="358"/>
      <c r="P47" s="358"/>
      <c r="Q47" s="358"/>
      <c r="R47" s="358"/>
      <c r="S47" s="396"/>
    </row>
    <row r="48" spans="2:19">
      <c r="B48" s="395" t="s">
        <v>60</v>
      </c>
      <c r="C48" s="358"/>
      <c r="D48" s="358"/>
      <c r="E48" s="358"/>
      <c r="F48" s="358"/>
      <c r="G48" s="358"/>
      <c r="H48" s="358"/>
      <c r="I48" s="358"/>
      <c r="J48" s="358"/>
      <c r="K48" s="358"/>
      <c r="L48" s="358"/>
      <c r="M48" s="358"/>
      <c r="N48" s="358"/>
      <c r="O48" s="358"/>
      <c r="P48" s="358"/>
      <c r="Q48" s="358"/>
      <c r="R48" s="358"/>
      <c r="S48" s="396"/>
    </row>
    <row r="49" spans="2:19">
      <c r="B49" s="395"/>
      <c r="C49" s="358"/>
      <c r="D49" s="358"/>
      <c r="E49" s="358"/>
      <c r="F49" s="358"/>
      <c r="G49" s="358"/>
      <c r="H49" s="358"/>
      <c r="I49" s="358"/>
      <c r="J49" s="358"/>
      <c r="K49" s="358"/>
      <c r="L49" s="358"/>
      <c r="M49" s="358"/>
      <c r="N49" s="358"/>
      <c r="O49" s="358"/>
      <c r="P49" s="358"/>
      <c r="Q49" s="358"/>
      <c r="R49" s="358"/>
      <c r="S49" s="396"/>
    </row>
    <row r="50" spans="2:19" ht="16.5">
      <c r="B50" s="395" t="s">
        <v>61</v>
      </c>
      <c r="C50" s="358"/>
      <c r="D50" s="358"/>
      <c r="E50" s="358"/>
      <c r="F50" s="358"/>
      <c r="G50" s="358"/>
      <c r="H50" s="358"/>
      <c r="I50" s="358"/>
      <c r="J50" s="358"/>
      <c r="K50" s="358"/>
      <c r="L50" s="358"/>
      <c r="M50" s="358"/>
      <c r="N50" s="358"/>
      <c r="O50" s="358"/>
      <c r="P50" s="358"/>
      <c r="Q50" s="358"/>
      <c r="R50" s="358"/>
      <c r="S50" s="396"/>
    </row>
    <row r="51" spans="2:19">
      <c r="B51" s="395" t="s">
        <v>62</v>
      </c>
      <c r="C51" s="358"/>
      <c r="D51" s="358"/>
      <c r="E51" s="358"/>
      <c r="F51" s="358"/>
      <c r="G51" s="358"/>
      <c r="H51" s="358"/>
      <c r="I51" s="358"/>
      <c r="J51" s="358"/>
      <c r="K51" s="358"/>
      <c r="L51" s="358"/>
      <c r="M51" s="358"/>
      <c r="N51" s="358"/>
      <c r="O51" s="358"/>
      <c r="P51" s="358"/>
      <c r="Q51" s="358"/>
      <c r="R51" s="358"/>
      <c r="S51" s="396"/>
    </row>
    <row r="52" spans="2:19">
      <c r="B52" s="395"/>
      <c r="C52" s="358"/>
      <c r="D52" s="358"/>
      <c r="E52" s="358"/>
      <c r="F52" s="358"/>
      <c r="G52" s="358"/>
      <c r="H52" s="358"/>
      <c r="I52" s="358"/>
      <c r="J52" s="358"/>
      <c r="K52" s="358"/>
      <c r="L52" s="358"/>
      <c r="M52" s="358"/>
      <c r="N52" s="358"/>
      <c r="O52" s="358"/>
      <c r="P52" s="358"/>
      <c r="Q52" s="358"/>
      <c r="R52" s="358"/>
      <c r="S52" s="396"/>
    </row>
    <row r="53" spans="2:19">
      <c r="B53" s="395" t="s">
        <v>63</v>
      </c>
      <c r="C53" s="358"/>
      <c r="D53" s="358"/>
      <c r="E53" s="358"/>
      <c r="F53" s="358"/>
      <c r="G53" s="358"/>
      <c r="H53" s="358"/>
      <c r="I53" s="358"/>
      <c r="J53" s="358"/>
      <c r="K53" s="358"/>
      <c r="L53" s="358"/>
      <c r="M53" s="358"/>
      <c r="N53" s="358"/>
      <c r="O53" s="358"/>
      <c r="P53" s="358"/>
      <c r="Q53" s="358"/>
      <c r="R53" s="358"/>
      <c r="S53" s="396"/>
    </row>
    <row r="54" spans="2:19">
      <c r="B54" s="395" t="s">
        <v>64</v>
      </c>
      <c r="C54" s="358"/>
      <c r="D54" s="358"/>
      <c r="E54" s="358"/>
      <c r="F54" s="358"/>
      <c r="G54" s="358"/>
      <c r="H54" s="358"/>
      <c r="I54" s="358"/>
      <c r="J54" s="358"/>
      <c r="K54" s="358"/>
      <c r="L54" s="358"/>
      <c r="M54" s="358"/>
      <c r="N54" s="358"/>
      <c r="O54" s="358"/>
      <c r="P54" s="358"/>
      <c r="Q54" s="358"/>
      <c r="R54" s="358"/>
      <c r="S54" s="396"/>
    </row>
    <row r="55" spans="2:19">
      <c r="B55" s="395" t="s">
        <v>65</v>
      </c>
      <c r="C55" s="358"/>
      <c r="D55" s="358"/>
      <c r="E55" s="358"/>
      <c r="F55" s="358"/>
      <c r="G55" s="358"/>
      <c r="H55" s="358"/>
      <c r="I55" s="358"/>
      <c r="J55" s="358"/>
      <c r="K55" s="358"/>
      <c r="L55" s="358"/>
      <c r="M55" s="358"/>
      <c r="N55" s="358"/>
      <c r="O55" s="358"/>
      <c r="P55" s="358"/>
      <c r="Q55" s="358"/>
      <c r="R55" s="358"/>
      <c r="S55" s="396"/>
    </row>
    <row r="56" spans="2:19">
      <c r="B56" s="395"/>
      <c r="C56" s="358"/>
      <c r="D56" s="358"/>
      <c r="E56" s="358"/>
      <c r="F56" s="358"/>
      <c r="G56" s="358"/>
      <c r="H56" s="358"/>
      <c r="I56" s="358"/>
      <c r="J56" s="358"/>
      <c r="K56" s="358"/>
      <c r="L56" s="358"/>
      <c r="M56" s="358"/>
      <c r="N56" s="358"/>
      <c r="O56" s="358"/>
      <c r="P56" s="358"/>
      <c r="Q56" s="358"/>
      <c r="R56" s="358"/>
      <c r="S56" s="396"/>
    </row>
    <row r="57" spans="2:19">
      <c r="B57" s="169" t="s">
        <v>66</v>
      </c>
      <c r="C57" s="358"/>
      <c r="D57" s="358"/>
      <c r="E57" s="358"/>
      <c r="F57" s="358"/>
      <c r="G57" s="358"/>
      <c r="H57" s="358"/>
      <c r="I57" s="358"/>
      <c r="J57" s="358"/>
      <c r="K57" s="358"/>
      <c r="L57" s="358"/>
      <c r="M57" s="358"/>
      <c r="N57" s="358"/>
      <c r="O57" s="358"/>
      <c r="P57" s="358"/>
      <c r="Q57" s="358"/>
      <c r="R57" s="358"/>
      <c r="S57" s="396"/>
    </row>
    <row r="58" spans="2:19">
      <c r="B58" s="395" t="s">
        <v>67</v>
      </c>
      <c r="C58" s="358"/>
      <c r="D58" s="358"/>
      <c r="E58" s="358"/>
      <c r="F58" s="358"/>
      <c r="G58" s="358"/>
      <c r="H58" s="358"/>
      <c r="I58" s="358"/>
      <c r="J58" s="358"/>
      <c r="K58" s="358"/>
      <c r="L58" s="358"/>
      <c r="M58" s="358"/>
      <c r="N58" s="358"/>
      <c r="O58" s="358"/>
      <c r="P58" s="358"/>
      <c r="Q58" s="358"/>
      <c r="R58" s="358"/>
      <c r="S58" s="396"/>
    </row>
    <row r="59" spans="2:19">
      <c r="B59" s="395"/>
      <c r="C59" s="358"/>
      <c r="D59" s="358"/>
      <c r="E59" s="358"/>
      <c r="F59" s="358"/>
      <c r="G59" s="358"/>
      <c r="H59" s="358"/>
      <c r="I59" s="358"/>
      <c r="J59" s="358"/>
      <c r="K59" s="358"/>
      <c r="L59" s="358"/>
      <c r="M59" s="358"/>
      <c r="N59" s="358"/>
      <c r="O59" s="358"/>
      <c r="P59" s="358"/>
      <c r="Q59" s="358"/>
      <c r="R59" s="358"/>
      <c r="S59" s="396"/>
    </row>
    <row r="60" spans="2:19">
      <c r="B60" s="169" t="s">
        <v>68</v>
      </c>
      <c r="C60" s="358"/>
      <c r="D60" s="358"/>
      <c r="E60" s="358"/>
      <c r="F60" s="358"/>
      <c r="G60" s="358"/>
      <c r="H60" s="358"/>
      <c r="I60" s="358"/>
      <c r="J60" s="358"/>
      <c r="K60" s="358"/>
      <c r="L60" s="358"/>
      <c r="M60" s="358"/>
      <c r="N60" s="358"/>
      <c r="O60" s="358"/>
      <c r="P60" s="358"/>
      <c r="Q60" s="358"/>
      <c r="R60" s="358"/>
      <c r="S60" s="396"/>
    </row>
    <row r="61" spans="2:19">
      <c r="B61" s="395" t="s">
        <v>69</v>
      </c>
      <c r="C61" s="358"/>
      <c r="D61" s="358"/>
      <c r="E61" s="358"/>
      <c r="F61" s="358"/>
      <c r="G61" s="358"/>
      <c r="H61" s="358"/>
      <c r="I61" s="358"/>
      <c r="J61" s="358"/>
      <c r="K61" s="358"/>
      <c r="L61" s="358"/>
      <c r="M61" s="358"/>
      <c r="N61" s="358"/>
      <c r="O61" s="358"/>
      <c r="P61" s="358"/>
      <c r="Q61" s="358"/>
      <c r="R61" s="358"/>
      <c r="S61" s="396"/>
    </row>
    <row r="62" spans="2:19">
      <c r="B62" s="395" t="s">
        <v>70</v>
      </c>
      <c r="C62" s="358"/>
      <c r="D62" s="358"/>
      <c r="E62" s="358"/>
      <c r="F62" s="358"/>
      <c r="G62" s="358"/>
      <c r="H62" s="358"/>
      <c r="I62" s="358"/>
      <c r="J62" s="358"/>
      <c r="K62" s="358"/>
      <c r="L62" s="358"/>
      <c r="M62" s="358"/>
      <c r="N62" s="358"/>
      <c r="O62" s="358"/>
      <c r="P62" s="358"/>
      <c r="Q62" s="358"/>
      <c r="R62" s="358"/>
      <c r="S62" s="396"/>
    </row>
    <row r="63" spans="2:19">
      <c r="B63" s="395"/>
      <c r="C63" s="358"/>
      <c r="D63" s="358"/>
      <c r="E63" s="358"/>
      <c r="F63" s="358"/>
      <c r="G63" s="358"/>
      <c r="H63" s="358"/>
      <c r="I63" s="358"/>
      <c r="J63" s="358"/>
      <c r="K63" s="358"/>
      <c r="L63" s="358"/>
      <c r="M63" s="358"/>
      <c r="N63" s="358"/>
      <c r="O63" s="358"/>
      <c r="P63" s="358"/>
      <c r="Q63" s="358"/>
      <c r="R63" s="358"/>
      <c r="S63" s="396"/>
    </row>
    <row r="64" spans="2:19">
      <c r="B64" s="169" t="s">
        <v>71</v>
      </c>
      <c r="C64" s="358"/>
      <c r="D64" s="358"/>
      <c r="E64" s="358"/>
      <c r="F64" s="358"/>
      <c r="G64" s="358"/>
      <c r="H64" s="358"/>
      <c r="I64" s="358"/>
      <c r="J64" s="358"/>
      <c r="K64" s="358"/>
      <c r="L64" s="358"/>
      <c r="M64" s="358"/>
      <c r="N64" s="358"/>
      <c r="O64" s="358"/>
      <c r="P64" s="358"/>
      <c r="Q64" s="358"/>
      <c r="R64" s="358"/>
      <c r="S64" s="396"/>
    </row>
    <row r="65" spans="2:19">
      <c r="B65" s="395" t="s">
        <v>72</v>
      </c>
      <c r="C65" s="358"/>
      <c r="D65" s="358"/>
      <c r="E65" s="358"/>
      <c r="F65" s="358"/>
      <c r="G65" s="358"/>
      <c r="H65" s="358"/>
      <c r="I65" s="358"/>
      <c r="J65" s="358"/>
      <c r="K65" s="358"/>
      <c r="L65" s="358"/>
      <c r="M65" s="358"/>
      <c r="N65" s="358"/>
      <c r="O65" s="358"/>
      <c r="P65" s="358"/>
      <c r="Q65" s="358"/>
      <c r="R65" s="358"/>
      <c r="S65" s="396"/>
    </row>
    <row r="66" spans="2:19">
      <c r="B66" s="194" t="s">
        <v>73</v>
      </c>
      <c r="C66" s="195"/>
      <c r="D66" s="195"/>
      <c r="E66" s="195"/>
      <c r="F66" s="195"/>
      <c r="G66" s="358"/>
      <c r="H66" s="358"/>
      <c r="I66" s="358"/>
      <c r="J66" s="358"/>
      <c r="K66" s="358"/>
      <c r="L66" s="358"/>
      <c r="M66" s="358"/>
      <c r="N66" s="358"/>
      <c r="O66" s="358"/>
      <c r="P66" s="358"/>
      <c r="Q66" s="358"/>
      <c r="R66" s="358"/>
      <c r="S66" s="396"/>
    </row>
    <row r="67" spans="2:19">
      <c r="B67" s="170"/>
      <c r="C67" s="358"/>
      <c r="D67" s="358"/>
      <c r="E67" s="358"/>
      <c r="F67" s="358"/>
      <c r="G67" s="358"/>
      <c r="H67" s="358"/>
      <c r="I67" s="358"/>
      <c r="J67" s="358"/>
      <c r="K67" s="358"/>
      <c r="L67" s="358"/>
      <c r="M67" s="358"/>
      <c r="N67" s="358"/>
      <c r="O67" s="358"/>
      <c r="P67" s="358"/>
      <c r="Q67" s="358"/>
      <c r="R67" s="358"/>
      <c r="S67" s="396"/>
    </row>
    <row r="68" spans="2:19">
      <c r="B68" s="395" t="s">
        <v>74</v>
      </c>
      <c r="C68" s="358"/>
      <c r="D68" s="358"/>
      <c r="E68" s="358"/>
      <c r="F68" s="358"/>
      <c r="G68" s="358"/>
      <c r="H68" s="358"/>
      <c r="I68" s="358"/>
      <c r="J68" s="358"/>
      <c r="K68" s="358"/>
      <c r="L68" s="358"/>
      <c r="M68" s="358"/>
      <c r="N68" s="358"/>
      <c r="O68" s="358"/>
      <c r="P68" s="358"/>
      <c r="Q68" s="358"/>
      <c r="R68" s="358"/>
      <c r="S68" s="396"/>
    </row>
    <row r="69" spans="2:19">
      <c r="B69" s="395" t="s">
        <v>75</v>
      </c>
      <c r="C69" s="358"/>
      <c r="D69" s="358"/>
      <c r="E69" s="358"/>
      <c r="F69" s="358"/>
      <c r="G69" s="358"/>
      <c r="H69" s="358"/>
      <c r="I69" s="358"/>
      <c r="J69" s="358"/>
      <c r="K69" s="358"/>
      <c r="L69" s="358"/>
      <c r="M69" s="358"/>
      <c r="N69" s="358"/>
      <c r="O69" s="358"/>
      <c r="P69" s="358"/>
      <c r="Q69" s="358"/>
      <c r="R69" s="358"/>
      <c r="S69" s="396"/>
    </row>
    <row r="70" spans="2:19">
      <c r="B70" s="395" t="s">
        <v>76</v>
      </c>
      <c r="C70" s="358"/>
      <c r="D70" s="358"/>
      <c r="E70" s="358"/>
      <c r="F70" s="358"/>
      <c r="G70" s="358"/>
      <c r="H70" s="358"/>
      <c r="I70" s="358"/>
      <c r="J70" s="358"/>
      <c r="K70" s="358"/>
      <c r="L70" s="358"/>
      <c r="M70" s="358"/>
      <c r="N70" s="358"/>
      <c r="O70" s="358"/>
      <c r="P70" s="358"/>
      <c r="Q70" s="358"/>
      <c r="R70" s="358"/>
      <c r="S70" s="396"/>
    </row>
    <row r="71" spans="2:19">
      <c r="B71" s="395" t="s">
        <v>77</v>
      </c>
      <c r="C71" s="358"/>
      <c r="D71" s="358"/>
      <c r="E71" s="358"/>
      <c r="F71" s="358"/>
      <c r="G71" s="358"/>
      <c r="H71" s="358"/>
      <c r="I71" s="358"/>
      <c r="J71" s="358"/>
      <c r="K71" s="358"/>
      <c r="L71" s="358"/>
      <c r="M71" s="358"/>
      <c r="N71" s="358"/>
      <c r="O71" s="358"/>
      <c r="P71" s="358"/>
      <c r="Q71" s="358"/>
      <c r="R71" s="358"/>
      <c r="S71" s="396"/>
    </row>
    <row r="72" spans="2:19">
      <c r="B72" s="397" t="s">
        <v>78</v>
      </c>
      <c r="C72" s="382"/>
      <c r="D72" s="382"/>
      <c r="E72" s="382"/>
      <c r="F72" s="382"/>
      <c r="G72" s="382"/>
      <c r="H72" s="382"/>
      <c r="I72" s="358"/>
      <c r="J72" s="358"/>
      <c r="K72" s="358"/>
      <c r="L72" s="358"/>
      <c r="M72" s="358"/>
      <c r="N72" s="358"/>
      <c r="O72" s="358"/>
      <c r="P72" s="358"/>
      <c r="Q72" s="358"/>
      <c r="R72" s="358"/>
      <c r="S72" s="396"/>
    </row>
    <row r="73" spans="2:19">
      <c r="B73" s="395"/>
      <c r="C73" s="358"/>
      <c r="D73" s="358"/>
      <c r="E73" s="358"/>
      <c r="F73" s="358"/>
      <c r="G73" s="358"/>
      <c r="H73" s="358"/>
      <c r="I73" s="358"/>
      <c r="J73" s="358"/>
      <c r="K73" s="358"/>
      <c r="L73" s="358"/>
      <c r="M73" s="358"/>
      <c r="N73" s="358"/>
      <c r="O73" s="358"/>
      <c r="P73" s="358"/>
      <c r="Q73" s="358"/>
      <c r="R73" s="358"/>
      <c r="S73" s="396"/>
    </row>
    <row r="74" spans="2:19">
      <c r="B74" s="171" t="s">
        <v>79</v>
      </c>
      <c r="C74" s="358"/>
      <c r="D74" s="358"/>
      <c r="E74" s="358"/>
      <c r="F74" s="358"/>
      <c r="G74" s="358"/>
      <c r="H74" s="358"/>
      <c r="I74" s="358"/>
      <c r="J74" s="358"/>
      <c r="K74" s="358"/>
      <c r="L74" s="358"/>
      <c r="M74" s="358"/>
      <c r="N74" s="358"/>
      <c r="O74" s="358"/>
      <c r="P74" s="358"/>
      <c r="Q74" s="358"/>
      <c r="R74" s="358"/>
      <c r="S74" s="396"/>
    </row>
    <row r="75" spans="2:19">
      <c r="B75" s="171" t="s">
        <v>1810</v>
      </c>
      <c r="C75" s="358"/>
      <c r="D75" s="358"/>
      <c r="E75" s="358"/>
      <c r="F75" s="358"/>
      <c r="G75" s="358"/>
      <c r="H75" s="358"/>
      <c r="I75" s="358"/>
      <c r="J75" s="358"/>
      <c r="K75" s="358"/>
      <c r="L75" s="358"/>
      <c r="M75" s="358"/>
      <c r="N75" s="358"/>
      <c r="O75" s="358"/>
      <c r="P75" s="358"/>
      <c r="Q75" s="358"/>
      <c r="R75" s="358"/>
      <c r="S75" s="396"/>
    </row>
    <row r="76" spans="2:19">
      <c r="B76" s="395" t="s">
        <v>80</v>
      </c>
      <c r="C76" s="358"/>
      <c r="D76" s="358"/>
      <c r="E76" s="358"/>
      <c r="F76" s="358"/>
      <c r="G76" s="358"/>
      <c r="H76" s="358"/>
      <c r="I76" s="358"/>
      <c r="J76" s="358"/>
      <c r="K76" s="358"/>
      <c r="L76" s="358"/>
      <c r="M76" s="358"/>
      <c r="N76" s="358"/>
      <c r="O76" s="358"/>
      <c r="P76" s="358"/>
      <c r="Q76" s="358"/>
      <c r="R76" s="358"/>
      <c r="S76" s="396"/>
    </row>
    <row r="77" spans="2:19">
      <c r="B77" s="395"/>
      <c r="C77" s="358"/>
      <c r="D77" s="358"/>
      <c r="E77" s="358"/>
      <c r="F77" s="358"/>
      <c r="G77" s="358"/>
      <c r="H77" s="358"/>
      <c r="I77" s="358"/>
      <c r="J77" s="358"/>
      <c r="K77" s="358"/>
      <c r="L77" s="358"/>
      <c r="M77" s="358"/>
      <c r="N77" s="358"/>
      <c r="O77" s="358"/>
      <c r="P77" s="358"/>
      <c r="Q77" s="358"/>
      <c r="R77" s="358"/>
      <c r="S77" s="396"/>
    </row>
    <row r="78" spans="2:19">
      <c r="B78" s="395" t="s">
        <v>81</v>
      </c>
      <c r="C78" s="358"/>
      <c r="D78" s="358"/>
      <c r="E78" s="358"/>
      <c r="F78" s="358"/>
      <c r="G78" s="358"/>
      <c r="H78" s="358"/>
      <c r="I78" s="358"/>
      <c r="J78" s="358"/>
      <c r="K78" s="358"/>
      <c r="L78" s="358"/>
      <c r="M78" s="358"/>
      <c r="N78" s="358"/>
      <c r="O78" s="358"/>
      <c r="P78" s="358"/>
      <c r="Q78" s="358"/>
      <c r="R78" s="358"/>
      <c r="S78" s="396"/>
    </row>
    <row r="79" spans="2:19">
      <c r="B79" s="395" t="s">
        <v>82</v>
      </c>
      <c r="C79" s="358"/>
      <c r="D79" s="358"/>
      <c r="E79" s="358"/>
      <c r="F79" s="358"/>
      <c r="G79" s="358"/>
      <c r="H79" s="358"/>
      <c r="I79" s="358"/>
      <c r="J79" s="358"/>
      <c r="K79" s="358"/>
      <c r="L79" s="358"/>
      <c r="M79" s="358"/>
      <c r="N79" s="358"/>
      <c r="O79" s="358"/>
      <c r="P79" s="358"/>
      <c r="Q79" s="358"/>
      <c r="R79" s="358"/>
      <c r="S79" s="396"/>
    </row>
    <row r="80" spans="2:19">
      <c r="B80" s="395" t="s">
        <v>83</v>
      </c>
      <c r="C80" s="358"/>
      <c r="D80" s="358"/>
      <c r="E80" s="358"/>
      <c r="F80" s="358"/>
      <c r="G80" s="358"/>
      <c r="H80" s="358"/>
      <c r="I80" s="358"/>
      <c r="J80" s="358"/>
      <c r="K80" s="358"/>
      <c r="L80" s="358"/>
      <c r="M80" s="358"/>
      <c r="N80" s="358"/>
      <c r="O80" s="358"/>
      <c r="P80" s="358"/>
      <c r="Q80" s="358"/>
      <c r="R80" s="358"/>
      <c r="S80" s="396"/>
    </row>
    <row r="81" spans="2:19" ht="15" thickBot="1">
      <c r="B81" s="398" t="s">
        <v>84</v>
      </c>
      <c r="C81" s="399"/>
      <c r="D81" s="399"/>
      <c r="E81" s="399"/>
      <c r="F81" s="399"/>
      <c r="G81" s="399"/>
      <c r="H81" s="399"/>
      <c r="I81" s="399"/>
      <c r="J81" s="399"/>
      <c r="K81" s="399"/>
      <c r="L81" s="399"/>
      <c r="M81" s="399"/>
      <c r="N81" s="399"/>
      <c r="O81" s="399"/>
      <c r="P81" s="399"/>
      <c r="Q81" s="399"/>
      <c r="R81" s="399"/>
      <c r="S81" s="400"/>
    </row>
    <row r="82" spans="2:19" ht="15.5" thickTop="1" thickBot="1">
      <c r="B82" s="358"/>
      <c r="C82" s="358"/>
      <c r="D82" s="358"/>
      <c r="E82" s="358"/>
      <c r="F82" s="358"/>
      <c r="G82" s="358"/>
      <c r="H82" s="358"/>
      <c r="I82" s="358"/>
      <c r="J82" s="358"/>
      <c r="K82" s="358"/>
      <c r="L82" s="358"/>
      <c r="M82" s="358"/>
      <c r="N82" s="358"/>
      <c r="O82" s="358"/>
      <c r="P82" s="358"/>
      <c r="Q82" s="358"/>
      <c r="R82" s="358"/>
      <c r="S82" s="358"/>
    </row>
    <row r="83" spans="2:19" ht="15" thickTop="1">
      <c r="B83" s="127" t="s">
        <v>1811</v>
      </c>
      <c r="C83" s="133"/>
      <c r="D83" s="133"/>
      <c r="E83" s="133"/>
      <c r="F83" s="133"/>
      <c r="G83" s="133"/>
      <c r="H83" s="133"/>
      <c r="I83" s="133"/>
      <c r="J83" s="133"/>
      <c r="K83" s="133"/>
      <c r="L83" s="133"/>
      <c r="M83" s="133"/>
      <c r="N83" s="133"/>
      <c r="O83" s="133"/>
      <c r="P83" s="133"/>
      <c r="Q83" s="133"/>
      <c r="R83" s="133"/>
      <c r="S83" s="134"/>
    </row>
    <row r="84" spans="2:19">
      <c r="B84" s="128"/>
      <c r="C84" s="62"/>
      <c r="D84" s="62"/>
      <c r="E84" s="62"/>
      <c r="F84" s="62"/>
      <c r="G84" s="62"/>
      <c r="H84" s="62"/>
      <c r="I84" s="62"/>
      <c r="J84" s="62"/>
      <c r="K84" s="62"/>
      <c r="L84" s="62"/>
      <c r="M84" s="62"/>
      <c r="N84" s="62"/>
      <c r="O84" s="62"/>
      <c r="P84" s="62"/>
      <c r="Q84" s="62"/>
      <c r="R84" s="62"/>
      <c r="S84" s="129"/>
    </row>
    <row r="85" spans="2:19" ht="16.5">
      <c r="B85" s="128" t="s">
        <v>85</v>
      </c>
      <c r="C85" s="62"/>
      <c r="D85" s="62"/>
      <c r="E85" s="62"/>
      <c r="F85" s="62"/>
      <c r="G85" s="62"/>
      <c r="H85" s="62"/>
      <c r="I85" s="62"/>
      <c r="J85" s="62"/>
      <c r="K85" s="62"/>
      <c r="L85" s="62"/>
      <c r="M85" s="62"/>
      <c r="N85" s="62"/>
      <c r="O85" s="62"/>
      <c r="P85" s="62"/>
      <c r="Q85" s="62"/>
      <c r="R85" s="62"/>
      <c r="S85" s="129"/>
    </row>
    <row r="86" spans="2:19" ht="17" thickBot="1">
      <c r="B86" s="130" t="s">
        <v>86</v>
      </c>
      <c r="C86" s="131"/>
      <c r="D86" s="131"/>
      <c r="E86" s="131"/>
      <c r="F86" s="131"/>
      <c r="G86" s="131"/>
      <c r="H86" s="131"/>
      <c r="I86" s="131"/>
      <c r="J86" s="131"/>
      <c r="K86" s="131"/>
      <c r="L86" s="131"/>
      <c r="M86" s="131"/>
      <c r="N86" s="131"/>
      <c r="O86" s="131"/>
      <c r="P86" s="131"/>
      <c r="Q86" s="131"/>
      <c r="R86" s="131"/>
      <c r="S86" s="132"/>
    </row>
    <row r="87" spans="2:19" ht="15.5" thickTop="1" thickBot="1">
      <c r="B87" s="358"/>
      <c r="C87" s="358"/>
      <c r="D87" s="358"/>
      <c r="E87" s="358"/>
      <c r="F87" s="358"/>
      <c r="G87" s="358"/>
      <c r="H87" s="358"/>
      <c r="I87" s="358"/>
      <c r="J87" s="358"/>
      <c r="K87" s="358"/>
      <c r="L87" s="358"/>
      <c r="M87" s="358"/>
      <c r="N87" s="358"/>
      <c r="O87" s="358"/>
      <c r="P87" s="358"/>
      <c r="Q87" s="358"/>
      <c r="R87" s="358"/>
      <c r="S87" s="358"/>
    </row>
    <row r="88" spans="2:19" ht="15" thickTop="1">
      <c r="B88" s="150" t="s">
        <v>36</v>
      </c>
      <c r="C88" s="156"/>
      <c r="D88" s="156"/>
      <c r="E88" s="156"/>
      <c r="F88" s="156"/>
      <c r="G88" s="156"/>
      <c r="H88" s="156"/>
      <c r="I88" s="156"/>
      <c r="J88" s="156"/>
      <c r="K88" s="156"/>
      <c r="L88" s="156"/>
      <c r="M88" s="156"/>
      <c r="N88" s="156"/>
      <c r="O88" s="156"/>
      <c r="P88" s="156"/>
      <c r="Q88" s="156"/>
      <c r="R88" s="156"/>
      <c r="S88" s="157"/>
    </row>
    <row r="89" spans="2:19">
      <c r="B89" s="151"/>
      <c r="C89" s="62"/>
      <c r="D89" s="62"/>
      <c r="E89" s="62"/>
      <c r="F89" s="62"/>
      <c r="G89" s="62"/>
      <c r="H89" s="62"/>
      <c r="I89" s="62"/>
      <c r="J89" s="62"/>
      <c r="K89" s="62"/>
      <c r="L89" s="62"/>
      <c r="M89" s="62"/>
      <c r="N89" s="62"/>
      <c r="O89" s="62"/>
      <c r="P89" s="62"/>
      <c r="Q89" s="62"/>
      <c r="R89" s="62"/>
      <c r="S89" s="152"/>
    </row>
    <row r="90" spans="2:19" ht="16.5">
      <c r="B90" s="151" t="s">
        <v>87</v>
      </c>
      <c r="C90" s="62"/>
      <c r="D90" s="62"/>
      <c r="E90" s="62"/>
      <c r="F90" s="62"/>
      <c r="G90" s="62"/>
      <c r="H90" s="62"/>
      <c r="I90" s="62"/>
      <c r="J90" s="62"/>
      <c r="K90" s="62"/>
      <c r="L90" s="62"/>
      <c r="M90" s="62"/>
      <c r="N90" s="62"/>
      <c r="O90" s="62"/>
      <c r="P90" s="62"/>
      <c r="Q90" s="62"/>
      <c r="R90" s="62"/>
      <c r="S90" s="152"/>
    </row>
    <row r="91" spans="2:19" ht="15" thickBot="1">
      <c r="B91" s="153" t="s">
        <v>88</v>
      </c>
      <c r="C91" s="154"/>
      <c r="D91" s="154"/>
      <c r="E91" s="154"/>
      <c r="F91" s="154"/>
      <c r="G91" s="154"/>
      <c r="H91" s="154"/>
      <c r="I91" s="154"/>
      <c r="J91" s="154"/>
      <c r="K91" s="154"/>
      <c r="L91" s="154"/>
      <c r="M91" s="154"/>
      <c r="N91" s="154"/>
      <c r="O91" s="154"/>
      <c r="P91" s="154"/>
      <c r="Q91" s="154"/>
      <c r="R91" s="154"/>
      <c r="S91" s="155"/>
    </row>
    <row r="92" spans="2:19" ht="15.5" thickTop="1" thickBot="1">
      <c r="B92" s="358"/>
      <c r="C92" s="358"/>
      <c r="D92" s="358"/>
      <c r="E92" s="358"/>
      <c r="F92" s="358"/>
      <c r="G92" s="358"/>
      <c r="H92" s="358"/>
      <c r="I92" s="358"/>
      <c r="J92" s="358"/>
      <c r="K92" s="358"/>
      <c r="L92" s="358"/>
      <c r="M92" s="358"/>
      <c r="N92" s="358"/>
      <c r="O92" s="358"/>
      <c r="P92" s="358"/>
      <c r="Q92" s="358"/>
      <c r="R92" s="358"/>
      <c r="S92" s="358"/>
    </row>
    <row r="93" spans="2:19" ht="15.5" thickTop="1" thickBot="1">
      <c r="B93" s="161" t="s">
        <v>37</v>
      </c>
      <c r="C93" s="162"/>
      <c r="D93" s="162"/>
      <c r="E93" s="162"/>
      <c r="F93" s="162"/>
      <c r="G93" s="162"/>
      <c r="H93" s="162"/>
      <c r="I93" s="162"/>
      <c r="J93" s="162"/>
      <c r="K93" s="162"/>
      <c r="L93" s="162"/>
      <c r="M93" s="162"/>
      <c r="N93" s="162"/>
      <c r="O93" s="162"/>
      <c r="P93" s="162"/>
      <c r="Q93" s="162"/>
      <c r="R93" s="162"/>
      <c r="S93" s="163"/>
    </row>
    <row r="94" spans="2:19" ht="15" thickTop="1">
      <c r="B94" s="164"/>
      <c r="C94" s="81"/>
      <c r="D94" s="81"/>
      <c r="E94" s="81"/>
      <c r="F94" s="81"/>
      <c r="G94" s="81"/>
      <c r="H94" s="81"/>
      <c r="I94" s="81"/>
      <c r="J94" s="81"/>
      <c r="K94" s="81"/>
      <c r="L94" s="81"/>
      <c r="M94" s="81"/>
      <c r="N94" s="81"/>
      <c r="O94" s="81"/>
      <c r="P94" s="81"/>
      <c r="Q94" s="81"/>
      <c r="R94" s="81"/>
      <c r="S94" s="165"/>
    </row>
    <row r="95" spans="2:19">
      <c r="B95" s="111" t="s">
        <v>89</v>
      </c>
      <c r="C95" s="81"/>
      <c r="D95" s="81"/>
      <c r="E95" s="81"/>
      <c r="F95" s="81"/>
      <c r="G95" s="81"/>
      <c r="H95" s="81"/>
      <c r="I95" s="81"/>
      <c r="J95" s="81"/>
      <c r="K95" s="81"/>
      <c r="L95" s="81"/>
      <c r="M95" s="81"/>
      <c r="N95" s="81"/>
      <c r="O95" s="81"/>
      <c r="P95" s="81"/>
      <c r="Q95" s="81"/>
      <c r="R95" s="81"/>
      <c r="S95" s="165"/>
    </row>
    <row r="96" spans="2:19" ht="15" thickBot="1">
      <c r="B96" s="112" t="s">
        <v>90</v>
      </c>
      <c r="C96" s="166"/>
      <c r="D96" s="166"/>
      <c r="E96" s="166"/>
      <c r="F96" s="166"/>
      <c r="G96" s="166"/>
      <c r="H96" s="166"/>
      <c r="I96" s="166"/>
      <c r="J96" s="166"/>
      <c r="K96" s="166"/>
      <c r="L96" s="166"/>
      <c r="M96" s="166"/>
      <c r="N96" s="166"/>
      <c r="O96" s="166"/>
      <c r="P96" s="166"/>
      <c r="Q96" s="166"/>
      <c r="R96" s="166"/>
      <c r="S96" s="167"/>
    </row>
    <row r="97" spans="2:19" ht="15" thickTop="1">
      <c r="B97" s="358"/>
      <c r="C97" s="358"/>
      <c r="D97" s="358"/>
      <c r="E97" s="358"/>
      <c r="F97" s="358"/>
      <c r="G97" s="358"/>
      <c r="H97" s="358"/>
      <c r="I97" s="358"/>
      <c r="J97" s="358"/>
      <c r="K97" s="358"/>
      <c r="L97" s="358"/>
      <c r="M97" s="358"/>
      <c r="N97" s="358"/>
      <c r="O97" s="358"/>
      <c r="P97" s="358"/>
      <c r="Q97" s="358"/>
      <c r="R97" s="358"/>
      <c r="S97" s="358"/>
    </row>
  </sheetData>
  <pageMargins left="0.7" right="0.7" top="0.78740157499999996" bottom="0.78740157499999996" header="0.3" footer="0.3"/>
  <pageSetup paperSize="9" scale="37" orientation="portrait" r:id="rId1"/>
  <headerFooter>
    <oddFooter>&amp;L&amp;1#&amp;"Calibri"&amp;10&amp;KFFC000Klassifikation: TLP gelb (Adressatenkreis)</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28DE9-7B56-42CA-BC7F-D4C79B14906C}">
  <sheetPr codeName="Tabelle2">
    <tabColor rgb="FFFFD288"/>
    <pageSetUpPr fitToPage="1"/>
  </sheetPr>
  <dimension ref="A1:J44"/>
  <sheetViews>
    <sheetView showGridLines="0" topLeftCell="A25" zoomScaleNormal="100" zoomScalePageLayoutView="60" workbookViewId="0">
      <selection activeCell="E17" sqref="E17"/>
    </sheetView>
  </sheetViews>
  <sheetFormatPr baseColWidth="10" defaultColWidth="11.08203125" defaultRowHeight="14.5"/>
  <cols>
    <col min="1" max="1" width="2.08203125" style="55" customWidth="1"/>
    <col min="2" max="2" width="3.58203125" style="55" customWidth="1"/>
    <col min="3" max="3" width="61.75" style="55" customWidth="1"/>
    <col min="4" max="4" width="10.25" style="55" customWidth="1"/>
    <col min="5" max="5" width="2.5" style="55" customWidth="1"/>
    <col min="6" max="7" width="27.83203125" style="55" customWidth="1"/>
    <col min="8" max="8" width="3.58203125" style="55" customWidth="1"/>
    <col min="9" max="9" width="2.08203125" style="55" customWidth="1"/>
    <col min="10" max="14" width="11.08203125" style="55"/>
    <col min="15" max="15" width="36.58203125" style="55" customWidth="1"/>
    <col min="16" max="16384" width="11.08203125" style="55"/>
  </cols>
  <sheetData>
    <row r="1" spans="1:10">
      <c r="A1" s="401"/>
      <c r="B1" s="401"/>
      <c r="C1" s="401"/>
      <c r="D1" s="401"/>
      <c r="E1" s="402"/>
      <c r="F1" s="401"/>
      <c r="G1" s="401"/>
      <c r="H1" s="402"/>
      <c r="I1" s="401"/>
    </row>
    <row r="2" spans="1:10" ht="33.5">
      <c r="A2" s="401"/>
      <c r="B2" s="358"/>
      <c r="C2" s="68" t="s">
        <v>91</v>
      </c>
      <c r="D2" s="68"/>
      <c r="E2" s="68"/>
      <c r="F2" s="68"/>
      <c r="G2" s="68"/>
      <c r="H2" s="56"/>
      <c r="I2" s="401"/>
    </row>
    <row r="3" spans="1:10" ht="20.5" customHeight="1">
      <c r="A3" s="401"/>
      <c r="B3" s="369"/>
      <c r="C3" s="358" t="s">
        <v>92</v>
      </c>
      <c r="D3" s="358"/>
      <c r="E3" s="57"/>
      <c r="F3" s="56"/>
      <c r="G3" s="56"/>
      <c r="H3" s="57"/>
      <c r="I3" s="401"/>
      <c r="J3" s="996" t="s">
        <v>1886</v>
      </c>
    </row>
    <row r="4" spans="1:10">
      <c r="A4" s="401"/>
      <c r="B4" s="358"/>
      <c r="C4" s="403" t="s">
        <v>93</v>
      </c>
      <c r="D4" s="403"/>
      <c r="E4" s="404"/>
      <c r="F4" s="358"/>
      <c r="G4" s="358"/>
      <c r="H4" s="404"/>
      <c r="I4" s="401"/>
      <c r="J4" s="996" t="s">
        <v>1887</v>
      </c>
    </row>
    <row r="5" spans="1:10" ht="15" thickBot="1">
      <c r="A5" s="401"/>
      <c r="B5" s="358"/>
      <c r="C5" s="358"/>
      <c r="D5" s="358"/>
      <c r="E5" s="358"/>
      <c r="F5" s="358"/>
      <c r="G5" s="358"/>
      <c r="H5" s="358"/>
      <c r="I5" s="401"/>
      <c r="J5" s="996" t="s">
        <v>1888</v>
      </c>
    </row>
    <row r="6" spans="1:10" ht="27.65" customHeight="1" thickBot="1">
      <c r="A6" s="401"/>
      <c r="B6" s="358"/>
      <c r="C6" s="222" t="s">
        <v>94</v>
      </c>
      <c r="D6" s="260"/>
      <c r="E6" s="259"/>
      <c r="F6" s="882" t="s">
        <v>95</v>
      </c>
      <c r="G6" s="260"/>
      <c r="H6" s="358"/>
      <c r="I6" s="401"/>
    </row>
    <row r="7" spans="1:10" ht="16" thickBot="1">
      <c r="A7" s="401"/>
      <c r="B7" s="358"/>
      <c r="C7" s="261"/>
      <c r="D7" s="241"/>
      <c r="E7" s="358"/>
      <c r="F7" s="889" t="str">
        <f>IF(Einmalkosten!D7="","",Einmalkosten!D7)</f>
        <v/>
      </c>
      <c r="G7" s="889"/>
      <c r="H7" s="358"/>
      <c r="I7" s="401"/>
    </row>
    <row r="8" spans="1:10" ht="29.5" thickBot="1">
      <c r="A8" s="401"/>
      <c r="B8" s="358"/>
      <c r="C8" s="406" t="s">
        <v>96</v>
      </c>
      <c r="D8" s="407"/>
      <c r="E8" s="358"/>
      <c r="F8" s="891" t="s">
        <v>1709</v>
      </c>
      <c r="G8" s="890"/>
      <c r="H8" s="358"/>
      <c r="I8" s="401"/>
    </row>
    <row r="9" spans="1:10" ht="29.5" customHeight="1" thickBot="1">
      <c r="A9" s="401"/>
      <c r="B9" s="358"/>
      <c r="C9" s="242" t="s">
        <v>97</v>
      </c>
      <c r="D9" s="243"/>
      <c r="E9" s="64"/>
      <c r="F9" s="64"/>
      <c r="G9" s="64"/>
      <c r="H9" s="358"/>
      <c r="I9" s="401"/>
    </row>
    <row r="10" spans="1:10" ht="14.15" customHeight="1">
      <c r="A10" s="401"/>
      <c r="B10" s="358"/>
      <c r="C10" s="408" t="s">
        <v>98</v>
      </c>
      <c r="D10" s="409">
        <v>0</v>
      </c>
      <c r="E10" s="64"/>
      <c r="F10" s="64"/>
      <c r="G10" s="64"/>
      <c r="H10" s="358"/>
      <c r="I10" s="401"/>
    </row>
    <row r="11" spans="1:10">
      <c r="A11" s="401"/>
      <c r="B11" s="358"/>
      <c r="C11" s="410" t="s">
        <v>99</v>
      </c>
      <c r="D11" s="411">
        <v>0</v>
      </c>
      <c r="E11" s="358"/>
      <c r="F11" s="358"/>
      <c r="G11" s="358"/>
      <c r="H11" s="358"/>
      <c r="I11" s="401"/>
    </row>
    <row r="12" spans="1:10">
      <c r="A12" s="401"/>
      <c r="B12" s="358"/>
      <c r="C12" s="256" t="s">
        <v>100</v>
      </c>
      <c r="D12" s="257">
        <v>0</v>
      </c>
      <c r="E12" s="358"/>
      <c r="F12" s="358"/>
      <c r="G12" s="358"/>
      <c r="H12" s="358"/>
      <c r="I12" s="401"/>
    </row>
    <row r="13" spans="1:10">
      <c r="A13" s="401"/>
      <c r="B13" s="358"/>
      <c r="C13" s="408" t="s">
        <v>101</v>
      </c>
      <c r="D13" s="412">
        <f>D12*D10</f>
        <v>0</v>
      </c>
      <c r="E13" s="358"/>
      <c r="F13" s="358"/>
      <c r="G13" s="358"/>
      <c r="H13" s="358"/>
      <c r="I13" s="401"/>
    </row>
    <row r="14" spans="1:10">
      <c r="A14" s="401"/>
      <c r="B14" s="358"/>
      <c r="C14" s="410" t="s">
        <v>102</v>
      </c>
      <c r="D14" s="413">
        <f>D12*D11</f>
        <v>0</v>
      </c>
      <c r="E14" s="358"/>
      <c r="F14" s="358"/>
      <c r="G14" s="358"/>
      <c r="H14" s="358"/>
      <c r="I14" s="401"/>
    </row>
    <row r="15" spans="1:10">
      <c r="A15" s="401"/>
      <c r="B15" s="358"/>
      <c r="C15" s="408" t="s">
        <v>103</v>
      </c>
      <c r="D15" s="414">
        <v>0</v>
      </c>
      <c r="E15" s="358"/>
      <c r="F15" s="358"/>
      <c r="G15" s="358"/>
      <c r="H15" s="358"/>
      <c r="I15" s="401"/>
    </row>
    <row r="16" spans="1:10">
      <c r="A16" s="401"/>
      <c r="B16" s="358"/>
      <c r="C16" s="410" t="s">
        <v>104</v>
      </c>
      <c r="D16" s="415">
        <v>0</v>
      </c>
      <c r="E16" s="358"/>
      <c r="F16" s="358"/>
      <c r="G16" s="358"/>
      <c r="H16" s="358"/>
      <c r="I16" s="401"/>
    </row>
    <row r="17" spans="1:9" ht="15" thickBot="1">
      <c r="A17" s="401"/>
      <c r="B17" s="358"/>
      <c r="C17" s="416"/>
      <c r="D17" s="358"/>
      <c r="E17" s="358"/>
      <c r="F17" s="358"/>
      <c r="G17" s="358"/>
      <c r="H17" s="358"/>
      <c r="I17" s="401"/>
    </row>
    <row r="18" spans="1:9" ht="29.5" customHeight="1" thickBot="1">
      <c r="A18" s="401"/>
      <c r="B18" s="358"/>
      <c r="C18" s="242" t="s">
        <v>105</v>
      </c>
      <c r="D18" s="243"/>
      <c r="E18" s="358"/>
      <c r="F18" s="358"/>
      <c r="G18" s="358"/>
      <c r="H18" s="358"/>
      <c r="I18" s="401"/>
    </row>
    <row r="19" spans="1:9" ht="29.5" thickBot="1">
      <c r="A19" s="401"/>
      <c r="B19" s="358"/>
      <c r="C19" s="63" t="s">
        <v>106</v>
      </c>
      <c r="D19" s="358"/>
      <c r="E19" s="358"/>
      <c r="F19" s="884" t="s">
        <v>1800</v>
      </c>
      <c r="G19" s="885"/>
      <c r="H19" s="358"/>
      <c r="I19" s="401"/>
    </row>
    <row r="20" spans="1:9" ht="44" thickBot="1">
      <c r="A20" s="401"/>
      <c r="B20" s="358"/>
      <c r="C20" s="416" t="s">
        <v>107</v>
      </c>
      <c r="D20" s="262">
        <f>D13</f>
        <v>0</v>
      </c>
      <c r="E20" s="417"/>
      <c r="F20" s="894"/>
      <c r="G20" s="893" t="s">
        <v>1316</v>
      </c>
      <c r="H20" s="358"/>
      <c r="I20" s="401"/>
    </row>
    <row r="21" spans="1:9" ht="15" thickBot="1">
      <c r="A21" s="401"/>
      <c r="B21" s="358"/>
      <c r="C21" s="416"/>
      <c r="D21" s="358"/>
      <c r="E21" s="358"/>
      <c r="F21" s="358"/>
      <c r="G21" s="358"/>
      <c r="H21" s="358"/>
      <c r="I21" s="401"/>
    </row>
    <row r="22" spans="1:9" ht="29.15" customHeight="1" thickBot="1">
      <c r="A22" s="401"/>
      <c r="B22" s="358"/>
      <c r="C22" s="242" t="s">
        <v>108</v>
      </c>
      <c r="D22" s="243"/>
      <c r="E22" s="404"/>
      <c r="F22" s="884" t="s">
        <v>1801</v>
      </c>
      <c r="G22" s="885"/>
      <c r="H22" s="358"/>
      <c r="I22" s="401"/>
    </row>
    <row r="23" spans="1:9" ht="22">
      <c r="A23" s="401"/>
      <c r="B23" s="358"/>
      <c r="C23" s="416" t="s">
        <v>109</v>
      </c>
      <c r="D23" s="710">
        <f>'Punktevergabe Details'!C26</f>
        <v>0</v>
      </c>
      <c r="E23" s="358"/>
      <c r="F23" s="895">
        <f>'Punktevergabe Details'!G26</f>
        <v>0</v>
      </c>
      <c r="G23" s="892" t="s">
        <v>1803</v>
      </c>
      <c r="H23" s="358"/>
      <c r="I23" s="401"/>
    </row>
    <row r="24" spans="1:9" ht="22.5" thickBot="1">
      <c r="A24" s="401"/>
      <c r="B24" s="358"/>
      <c r="C24" s="419" t="s">
        <v>110</v>
      </c>
      <c r="D24" s="418">
        <f>'Punktevergabe Details'!C33</f>
        <v>0</v>
      </c>
      <c r="E24" s="358"/>
      <c r="F24" s="896">
        <f>'Punktevergabe Details'!G33</f>
        <v>0</v>
      </c>
      <c r="G24" s="221" t="s">
        <v>1803</v>
      </c>
      <c r="H24" s="358"/>
      <c r="I24" s="401"/>
    </row>
    <row r="25" spans="1:9" ht="44" customHeight="1" thickBot="1">
      <c r="A25" s="401"/>
      <c r="B25" s="358"/>
      <c r="C25" s="63" t="s">
        <v>111</v>
      </c>
      <c r="D25" s="420">
        <f>SUM(D23:D24)</f>
        <v>0</v>
      </c>
      <c r="E25" s="358"/>
      <c r="F25" s="897">
        <f>SUM(F23:F24)</f>
        <v>0</v>
      </c>
      <c r="G25" s="886"/>
      <c r="H25" s="358"/>
      <c r="I25" s="401"/>
    </row>
    <row r="26" spans="1:9" ht="15" thickBot="1">
      <c r="A26" s="401"/>
      <c r="B26" s="358"/>
      <c r="C26" s="416"/>
      <c r="D26" s="358"/>
      <c r="E26" s="358"/>
      <c r="F26" s="358"/>
      <c r="G26" s="358"/>
      <c r="H26" s="358"/>
      <c r="I26" s="401"/>
    </row>
    <row r="27" spans="1:9" ht="44" thickBot="1">
      <c r="A27" s="401"/>
      <c r="B27" s="358"/>
      <c r="C27" s="416"/>
      <c r="D27" s="358"/>
      <c r="E27" s="358"/>
      <c r="F27" s="884" t="s">
        <v>1802</v>
      </c>
      <c r="G27" s="885"/>
      <c r="H27" s="358"/>
      <c r="I27" s="401"/>
    </row>
    <row r="28" spans="1:9" ht="15" thickBot="1">
      <c r="A28" s="401"/>
      <c r="B28" s="358"/>
      <c r="C28" s="408"/>
      <c r="D28" s="358"/>
      <c r="E28" s="358"/>
      <c r="F28" s="898">
        <f>SUM(E20,F25)</f>
        <v>0</v>
      </c>
      <c r="G28" s="883"/>
      <c r="H28" s="358"/>
      <c r="I28" s="401"/>
    </row>
    <row r="29" spans="1:9">
      <c r="A29" s="401"/>
      <c r="B29" s="358"/>
      <c r="C29" s="416"/>
      <c r="D29" s="358"/>
      <c r="E29" s="358"/>
      <c r="F29" s="358"/>
      <c r="G29" s="358"/>
      <c r="H29" s="358"/>
      <c r="I29" s="401"/>
    </row>
    <row r="30" spans="1:9" ht="15" thickBot="1">
      <c r="A30" s="401"/>
      <c r="B30" s="358"/>
      <c r="C30" s="416"/>
      <c r="D30" s="358"/>
      <c r="E30" s="358"/>
      <c r="F30" s="358"/>
      <c r="G30" s="358"/>
      <c r="H30" s="358"/>
      <c r="I30" s="401"/>
    </row>
    <row r="31" spans="1:9" ht="87.5" thickBot="1">
      <c r="A31" s="401"/>
      <c r="B31" s="358"/>
      <c r="C31" s="913" t="s">
        <v>1809</v>
      </c>
      <c r="D31" s="358"/>
      <c r="E31" s="358"/>
      <c r="F31" s="905" t="s">
        <v>1808</v>
      </c>
      <c r="G31" s="906" t="s">
        <v>1807</v>
      </c>
      <c r="H31" s="358"/>
      <c r="I31" s="401"/>
    </row>
    <row r="32" spans="1:9" ht="15" thickBot="1">
      <c r="A32" s="401"/>
      <c r="B32" s="358"/>
      <c r="C32" s="245"/>
      <c r="D32" s="887" t="s">
        <v>112</v>
      </c>
      <c r="E32" s="358"/>
      <c r="F32" s="405" t="str">
        <f>$F$7</f>
        <v/>
      </c>
      <c r="G32" s="405" t="str">
        <f>$F$7</f>
        <v/>
      </c>
      <c r="H32" s="358"/>
      <c r="I32" s="401"/>
    </row>
    <row r="33" spans="1:9">
      <c r="A33" s="401"/>
      <c r="B33" s="358"/>
      <c r="C33" s="358"/>
      <c r="D33" s="888" t="s">
        <v>113</v>
      </c>
      <c r="E33" s="880"/>
      <c r="F33" s="881">
        <f>$F$20</f>
        <v>0</v>
      </c>
      <c r="G33" s="881">
        <f>$F$20</f>
        <v>0</v>
      </c>
      <c r="H33" s="358"/>
      <c r="I33" s="401"/>
    </row>
    <row r="34" spans="1:9">
      <c r="A34" s="401"/>
      <c r="B34" s="358"/>
      <c r="C34" s="358"/>
      <c r="D34" s="888" t="s">
        <v>114</v>
      </c>
      <c r="E34" s="880"/>
      <c r="F34" s="881">
        <f>$F$25</f>
        <v>0</v>
      </c>
      <c r="G34" s="881">
        <f>$F$25</f>
        <v>0</v>
      </c>
      <c r="H34" s="358"/>
      <c r="I34" s="401"/>
    </row>
    <row r="35" spans="1:9" ht="15" thickBot="1">
      <c r="A35" s="401"/>
      <c r="B35" s="358"/>
      <c r="C35" s="494"/>
      <c r="D35" s="900" t="s">
        <v>115</v>
      </c>
      <c r="E35" s="72"/>
      <c r="F35" s="899">
        <f>$F$28</f>
        <v>0</v>
      </c>
      <c r="G35" s="899">
        <f>$F$28</f>
        <v>0</v>
      </c>
      <c r="H35" s="358"/>
      <c r="I35" s="401"/>
    </row>
    <row r="36" spans="1:9" ht="15" thickBot="1">
      <c r="A36" s="401"/>
      <c r="B36" s="358"/>
      <c r="C36" s="901"/>
      <c r="D36" s="902" t="s">
        <v>116</v>
      </c>
      <c r="E36" s="358"/>
      <c r="F36" s="907">
        <f>'Ergebnis LCC inkl. CO2-Kosten'!$L$6</f>
        <v>228190</v>
      </c>
      <c r="G36" s="907">
        <f>'Ergebnis LCC ohne CO2-Kosten'!$L$6</f>
        <v>228190</v>
      </c>
      <c r="H36" s="358"/>
      <c r="I36" s="401"/>
    </row>
    <row r="37" spans="1:9" ht="15" thickBot="1">
      <c r="A37" s="401"/>
      <c r="B37" s="358"/>
      <c r="C37" s="901"/>
      <c r="D37" s="902" t="s">
        <v>1883</v>
      </c>
      <c r="E37" s="358"/>
      <c r="F37" s="981">
        <v>3000</v>
      </c>
      <c r="G37" s="981">
        <v>2000</v>
      </c>
      <c r="H37" s="358"/>
      <c r="I37" s="401"/>
    </row>
    <row r="38" spans="1:9">
      <c r="A38" s="401"/>
      <c r="B38" s="358"/>
      <c r="C38" s="358"/>
      <c r="D38" s="869" t="s">
        <v>1804</v>
      </c>
      <c r="E38" s="358"/>
      <c r="F38" s="909">
        <f>SUM('Ergebnis LCC inkl. CO2-Kosten'!$E$18,'Ergebnis LCC inkl. CO2-Kosten'!$L$18,'Ergebnis LCC inkl. CO2-Kosten'!$E$28)</f>
        <v>298436.477656</v>
      </c>
      <c r="G38" s="909">
        <f>'Ergebnis LCC ohne CO2-Kosten'!$L$9</f>
        <v>298436.477656</v>
      </c>
      <c r="H38" s="358"/>
      <c r="I38" s="401"/>
    </row>
    <row r="39" spans="1:9" ht="16.5">
      <c r="A39" s="401"/>
      <c r="B39" s="358"/>
      <c r="C39" s="376"/>
      <c r="D39" s="904" t="s">
        <v>1805</v>
      </c>
      <c r="E39" s="258"/>
      <c r="F39" s="910">
        <f>'Ergebnis LCC inkl. CO2-Kosten'!$N$31</f>
        <v>39769.481143961399</v>
      </c>
      <c r="G39" s="910">
        <f>'Ergebnis LCC ohne CO2-Kosten'!$N$31</f>
        <v>39769.481143961399</v>
      </c>
      <c r="H39" s="358"/>
      <c r="I39" s="401"/>
    </row>
    <row r="40" spans="1:9" ht="17" thickBot="1">
      <c r="A40" s="401"/>
      <c r="B40" s="358"/>
      <c r="C40" s="494"/>
      <c r="D40" s="903" t="s">
        <v>1806</v>
      </c>
      <c r="E40" s="404"/>
      <c r="F40" s="911">
        <f>'Ergebnis LCC inkl. CO2-Kosten'!$L$9</f>
        <v>338205.95879996137</v>
      </c>
      <c r="G40" s="911">
        <f>'Ergebnis LCC ohne CO2-Kosten'!$L$9+'Ergebnis LCC ohne CO2-Kosten'!$L$10</f>
        <v>338205.95879996137</v>
      </c>
      <c r="H40" s="358"/>
      <c r="I40" s="401"/>
    </row>
    <row r="41" spans="1:9">
      <c r="A41" s="401"/>
      <c r="B41" s="358"/>
      <c r="C41" s="358"/>
      <c r="D41" s="887" t="s">
        <v>117</v>
      </c>
      <c r="E41" s="358"/>
      <c r="F41" s="908">
        <f>IFERROR('Laufende Kosten'!$H$11/Nutzung!$C$8,0)</f>
        <v>19.036477656000006</v>
      </c>
      <c r="G41" s="908">
        <f>IFERROR('Laufende Kosten'!$H$11/Nutzung!$C$8,0)</f>
        <v>19.036477656000006</v>
      </c>
      <c r="H41" s="358"/>
      <c r="I41" s="401"/>
    </row>
    <row r="42" spans="1:9" ht="15" thickBot="1">
      <c r="A42" s="401"/>
      <c r="B42" s="358"/>
      <c r="C42" s="358"/>
      <c r="D42" s="888" t="s">
        <v>118</v>
      </c>
      <c r="E42" s="358"/>
      <c r="F42" s="912">
        <f>IFERROR(SUM('Laufende Kosten'!$H$62,'Laufende Kosten'!$H$47)/Nutzung!$C$8,0)</f>
        <v>51.209999999999994</v>
      </c>
      <c r="G42" s="912">
        <f>IFERROR(SUM('Laufende Kosten'!$H$62,'Laufende Kosten'!$H$47)/Nutzung!$C$8,0)</f>
        <v>51.209999999999994</v>
      </c>
      <c r="H42" s="358"/>
      <c r="I42" s="401"/>
    </row>
    <row r="43" spans="1:9">
      <c r="A43" s="401"/>
      <c r="B43" s="358"/>
      <c r="C43" s="65"/>
      <c r="D43" s="66"/>
      <c r="E43" s="65"/>
      <c r="F43" s="67"/>
      <c r="G43" s="67"/>
      <c r="H43" s="358"/>
      <c r="I43" s="401"/>
    </row>
    <row r="44" spans="1:9">
      <c r="A44" s="401"/>
      <c r="B44" s="401"/>
      <c r="C44" s="401"/>
      <c r="D44" s="401"/>
      <c r="E44" s="401"/>
      <c r="F44" s="401"/>
      <c r="G44" s="401"/>
      <c r="H44" s="401"/>
      <c r="I44" s="401"/>
    </row>
  </sheetData>
  <conditionalFormatting sqref="F7:G8">
    <cfRule type="cellIs" dxfId="130" priority="5" operator="equal">
      <formula>"Nein"</formula>
    </cfRule>
    <cfRule type="cellIs" dxfId="129" priority="6" operator="equal">
      <formula>"Ja"</formula>
    </cfRule>
  </conditionalFormatting>
  <conditionalFormatting sqref="D8">
    <cfRule type="cellIs" dxfId="128" priority="1" operator="equal">
      <formula>"Nein"</formula>
    </cfRule>
    <cfRule type="cellIs" dxfId="127" priority="2" operator="equal">
      <formula>"Ja"</formula>
    </cfRule>
  </conditionalFormatting>
  <dataValidations count="1">
    <dataValidation type="list" allowBlank="1" showInputMessage="1" showErrorMessage="1" sqref="F8:G8 D8" xr:uid="{A4646F68-D5BB-46ED-B50E-1D3E32661C9F}">
      <formula1>"Ja,Nein"</formula1>
    </dataValidation>
  </dataValidations>
  <hyperlinks>
    <hyperlink ref="J3" location="'Aufbau LCC-CO2-Tool'!A1" display="zurück zur Übersicht" xr:uid="{FD2E7F5C-4B1E-4068-A993-655AFB054091}"/>
    <hyperlink ref="J4" location="'Anleitung für Beschaffende'!A13" display="zurück zur Anleitung für Beschaffende " xr:uid="{E150B7FF-DD16-449C-B9D8-BCDB87CD93ED}"/>
    <hyperlink ref="J5" location="'Anleitung für Bietende'!A22" display="zurück zur Anleitung für Bietende" xr:uid="{76453F71-1AD0-48CC-8CB5-B85A6C22A923}"/>
  </hyperlinks>
  <pageMargins left="0.70866141732283472" right="0.70866141732283472" top="0.78740157480314965" bottom="0.78740157480314965" header="0.31496062992125984" footer="0.31496062992125984"/>
  <pageSetup paperSize="9" scale="57" orientation="portrait" r:id="rId1"/>
  <headerFooter>
    <oddHeader>&amp;C&amp;14&amp;KFF0000TESTVERSION!</oddHeader>
    <oddFooter>&amp;L&amp;8&amp;K000000LCC-CO2-Tool - Arbeitshilfe des Umweltbundesamtes&amp;C&amp;8Punktevergabe Übersicht&amp;R&amp;8&amp;P</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53FCE-3BB1-455D-A5B2-1FD97A1BE9A9}">
  <sheetPr codeName="Tabelle3">
    <tabColor rgb="FFFFD288"/>
    <pageSetUpPr fitToPage="1"/>
  </sheetPr>
  <dimension ref="A1:K35"/>
  <sheetViews>
    <sheetView showGridLines="0" zoomScaleNormal="100" zoomScalePageLayoutView="90" workbookViewId="0"/>
  </sheetViews>
  <sheetFormatPr baseColWidth="10" defaultColWidth="11.08203125" defaultRowHeight="14.5"/>
  <cols>
    <col min="1" max="1" width="2.08203125" style="55" customWidth="1"/>
    <col min="2" max="2" width="3.58203125" style="55" customWidth="1"/>
    <col min="3" max="3" width="14" style="55" customWidth="1"/>
    <col min="4" max="4" width="35.25" style="55" customWidth="1"/>
    <col min="5" max="5" width="3.58203125" style="55" customWidth="1"/>
    <col min="6" max="6" width="20.25" style="55" customWidth="1"/>
    <col min="7" max="7" width="8.5" style="55" customWidth="1"/>
    <col min="8" max="8" width="61" style="55" customWidth="1"/>
    <col min="9" max="9" width="3.58203125" style="55" customWidth="1"/>
    <col min="10" max="10" width="2.08203125" style="55" customWidth="1"/>
    <col min="11" max="15" width="11.08203125" style="55"/>
    <col min="16" max="16" width="36.58203125" style="55" customWidth="1"/>
    <col min="17" max="16384" width="11.08203125" style="55"/>
  </cols>
  <sheetData>
    <row r="1" spans="1:11">
      <c r="A1" s="401"/>
      <c r="B1" s="401"/>
      <c r="C1" s="401"/>
      <c r="D1" s="401"/>
      <c r="E1" s="401"/>
      <c r="F1" s="401"/>
      <c r="G1" s="402"/>
      <c r="H1" s="401"/>
      <c r="I1" s="402"/>
      <c r="J1" s="401"/>
    </row>
    <row r="2" spans="1:11" ht="33.5">
      <c r="A2" s="401"/>
      <c r="B2" s="358"/>
      <c r="C2" s="68" t="s">
        <v>119</v>
      </c>
      <c r="D2" s="68"/>
      <c r="E2" s="68"/>
      <c r="F2" s="68"/>
      <c r="G2" s="68"/>
      <c r="H2" s="68"/>
      <c r="I2" s="56"/>
      <c r="J2" s="401"/>
    </row>
    <row r="3" spans="1:11" ht="23.5" customHeight="1">
      <c r="A3" s="401"/>
      <c r="B3" s="369"/>
      <c r="C3" s="358" t="s">
        <v>92</v>
      </c>
      <c r="D3" s="369"/>
      <c r="E3" s="369"/>
      <c r="F3" s="358"/>
      <c r="G3" s="57"/>
      <c r="H3" s="56"/>
      <c r="I3" s="57"/>
      <c r="J3" s="401"/>
      <c r="K3" s="996" t="s">
        <v>1886</v>
      </c>
    </row>
    <row r="4" spans="1:11">
      <c r="A4" s="401"/>
      <c r="B4" s="358"/>
      <c r="C4" s="403" t="s">
        <v>93</v>
      </c>
      <c r="D4" s="403"/>
      <c r="E4" s="403"/>
      <c r="F4" s="421"/>
      <c r="G4" s="358"/>
      <c r="H4" s="422"/>
      <c r="I4" s="404"/>
      <c r="J4" s="401"/>
      <c r="K4" s="996" t="s">
        <v>1887</v>
      </c>
    </row>
    <row r="5" spans="1:11">
      <c r="A5" s="401"/>
      <c r="B5" s="358"/>
      <c r="C5" s="370" t="s">
        <v>120</v>
      </c>
      <c r="D5" s="370"/>
      <c r="E5" s="370"/>
      <c r="F5" s="423"/>
      <c r="G5" s="358"/>
      <c r="H5" s="358"/>
      <c r="I5" s="404"/>
      <c r="J5" s="401"/>
      <c r="K5" s="996" t="s">
        <v>1888</v>
      </c>
    </row>
    <row r="6" spans="1:11" ht="15" thickBot="1">
      <c r="A6" s="401"/>
      <c r="B6" s="358"/>
      <c r="C6" s="358"/>
      <c r="D6" s="358"/>
      <c r="E6" s="358"/>
      <c r="F6" s="358"/>
      <c r="G6" s="358"/>
      <c r="H6" s="358"/>
      <c r="I6" s="358"/>
      <c r="J6" s="401"/>
    </row>
    <row r="7" spans="1:11" ht="34" customHeight="1" thickBot="1">
      <c r="A7" s="401"/>
      <c r="B7" s="358"/>
      <c r="C7" s="275" t="s">
        <v>121</v>
      </c>
      <c r="D7" s="274"/>
      <c r="E7" s="63"/>
      <c r="F7" s="276" t="s">
        <v>95</v>
      </c>
      <c r="G7" s="424"/>
      <c r="H7" s="425"/>
      <c r="I7" s="358"/>
      <c r="J7" s="401"/>
    </row>
    <row r="8" spans="1:11" ht="34" customHeight="1" thickBot="1">
      <c r="A8" s="401"/>
      <c r="B8" s="358"/>
      <c r="C8" s="277"/>
      <c r="D8" s="269"/>
      <c r="E8" s="63"/>
      <c r="F8" s="426"/>
      <c r="G8" s="707" t="s">
        <v>1705</v>
      </c>
      <c r="H8" s="708" t="str">
        <f>IF(Einmalkosten!D7="","",Einmalkosten!D7)</f>
        <v/>
      </c>
      <c r="I8" s="358"/>
      <c r="J8" s="401"/>
    </row>
    <row r="9" spans="1:11" ht="23.15" customHeight="1" thickBot="1">
      <c r="A9" s="401"/>
      <c r="B9" s="358"/>
      <c r="C9" s="278" t="s">
        <v>122</v>
      </c>
      <c r="D9" s="264"/>
      <c r="E9" s="90"/>
      <c r="F9" s="278" t="s">
        <v>122</v>
      </c>
      <c r="G9" s="265"/>
      <c r="H9" s="266"/>
      <c r="I9" s="358"/>
      <c r="J9" s="401"/>
    </row>
    <row r="10" spans="1:11" ht="29.5" thickBot="1">
      <c r="A10" s="401"/>
      <c r="B10" s="358"/>
      <c r="C10" s="281" t="s">
        <v>123</v>
      </c>
      <c r="D10" s="279" t="s">
        <v>122</v>
      </c>
      <c r="E10" s="268"/>
      <c r="F10" s="286" t="s">
        <v>124</v>
      </c>
      <c r="G10" s="358"/>
      <c r="H10" s="244" t="s">
        <v>125</v>
      </c>
      <c r="I10" s="358"/>
      <c r="J10" s="401"/>
    </row>
    <row r="11" spans="1:11">
      <c r="A11" s="401"/>
      <c r="B11" s="358"/>
      <c r="C11" s="59" t="s">
        <v>126</v>
      </c>
      <c r="D11" s="427" t="s">
        <v>127</v>
      </c>
      <c r="E11" s="428"/>
      <c r="F11" s="429" t="s">
        <v>128</v>
      </c>
      <c r="G11" s="430"/>
      <c r="H11" s="431"/>
      <c r="I11" s="358"/>
      <c r="J11" s="401"/>
    </row>
    <row r="12" spans="1:11">
      <c r="A12" s="401"/>
      <c r="B12" s="358"/>
      <c r="C12" s="60" t="s">
        <v>126</v>
      </c>
      <c r="D12" s="432" t="s">
        <v>129</v>
      </c>
      <c r="E12" s="428"/>
      <c r="F12" s="433" t="s">
        <v>128</v>
      </c>
      <c r="G12" s="434"/>
      <c r="H12" s="435"/>
      <c r="I12" s="358"/>
      <c r="J12" s="401"/>
    </row>
    <row r="13" spans="1:11">
      <c r="A13" s="401"/>
      <c r="B13" s="358"/>
      <c r="C13" s="60" t="s">
        <v>126</v>
      </c>
      <c r="D13" s="432" t="s">
        <v>130</v>
      </c>
      <c r="E13" s="428"/>
      <c r="F13" s="433" t="s">
        <v>128</v>
      </c>
      <c r="G13" s="436"/>
      <c r="H13" s="437"/>
      <c r="I13" s="358"/>
      <c r="J13" s="401"/>
    </row>
    <row r="14" spans="1:11" ht="15" thickBot="1">
      <c r="A14" s="401"/>
      <c r="B14" s="358"/>
      <c r="C14" s="61" t="s">
        <v>126</v>
      </c>
      <c r="D14" s="438" t="s">
        <v>131</v>
      </c>
      <c r="E14" s="428"/>
      <c r="F14" s="439" t="s">
        <v>128</v>
      </c>
      <c r="G14" s="440"/>
      <c r="H14" s="441"/>
      <c r="I14" s="358"/>
      <c r="J14" s="401"/>
    </row>
    <row r="15" spans="1:11" ht="15" thickBot="1">
      <c r="A15" s="401"/>
      <c r="B15" s="358"/>
      <c r="C15" s="267"/>
      <c r="D15" s="442"/>
      <c r="E15" s="419"/>
      <c r="F15" s="443"/>
      <c r="G15" s="444"/>
      <c r="H15" s="444"/>
      <c r="I15" s="358"/>
      <c r="J15" s="401"/>
    </row>
    <row r="16" spans="1:11" ht="22.5" customHeight="1" thickBot="1">
      <c r="A16" s="401"/>
      <c r="B16" s="358"/>
      <c r="C16" s="278" t="s">
        <v>132</v>
      </c>
      <c r="D16" s="263"/>
      <c r="E16" s="90"/>
      <c r="F16" s="278" t="s">
        <v>133</v>
      </c>
      <c r="G16" s="263"/>
      <c r="H16" s="264"/>
      <c r="I16" s="358"/>
      <c r="J16" s="401"/>
    </row>
    <row r="17" spans="1:10" ht="29.5" thickBot="1">
      <c r="A17" s="401"/>
      <c r="B17" s="358"/>
      <c r="C17" s="280" t="s">
        <v>123</v>
      </c>
      <c r="D17" s="282" t="s">
        <v>134</v>
      </c>
      <c r="E17" s="272"/>
      <c r="F17" s="216" t="s">
        <v>135</v>
      </c>
      <c r="G17" s="281" t="s">
        <v>136</v>
      </c>
      <c r="H17" s="244" t="s">
        <v>125</v>
      </c>
      <c r="I17" s="358"/>
      <c r="J17" s="401"/>
    </row>
    <row r="18" spans="1:10">
      <c r="A18" s="401"/>
      <c r="B18" s="358"/>
      <c r="C18" s="445">
        <v>0</v>
      </c>
      <c r="D18" s="446" t="s">
        <v>137</v>
      </c>
      <c r="E18" s="447"/>
      <c r="F18" s="448"/>
      <c r="G18" s="449">
        <f>C18*F18</f>
        <v>0</v>
      </c>
      <c r="H18" s="450"/>
      <c r="I18" s="358"/>
      <c r="J18" s="401"/>
    </row>
    <row r="19" spans="1:10">
      <c r="A19" s="401"/>
      <c r="B19" s="358"/>
      <c r="C19" s="451">
        <v>0</v>
      </c>
      <c r="D19" s="452" t="s">
        <v>138</v>
      </c>
      <c r="E19" s="447"/>
      <c r="F19" s="453"/>
      <c r="G19" s="454">
        <f t="shared" ref="G19:G25" si="0">C19*F19</f>
        <v>0</v>
      </c>
      <c r="H19" s="455"/>
      <c r="I19" s="358"/>
      <c r="J19" s="401"/>
    </row>
    <row r="20" spans="1:10">
      <c r="A20" s="401"/>
      <c r="B20" s="358"/>
      <c r="C20" s="451">
        <v>0</v>
      </c>
      <c r="D20" s="452" t="s">
        <v>139</v>
      </c>
      <c r="E20" s="447"/>
      <c r="F20" s="453"/>
      <c r="G20" s="454">
        <f t="shared" si="0"/>
        <v>0</v>
      </c>
      <c r="H20" s="455"/>
      <c r="I20" s="358"/>
      <c r="J20" s="401"/>
    </row>
    <row r="21" spans="1:10">
      <c r="A21" s="401"/>
      <c r="B21" s="358"/>
      <c r="C21" s="451">
        <v>0</v>
      </c>
      <c r="D21" s="452" t="s">
        <v>140</v>
      </c>
      <c r="E21" s="447"/>
      <c r="F21" s="453"/>
      <c r="G21" s="454">
        <f t="shared" si="0"/>
        <v>0</v>
      </c>
      <c r="H21" s="455"/>
      <c r="I21" s="358"/>
      <c r="J21" s="401"/>
    </row>
    <row r="22" spans="1:10">
      <c r="A22" s="401"/>
      <c r="B22" s="358"/>
      <c r="C22" s="451">
        <v>0</v>
      </c>
      <c r="D22" s="452" t="s">
        <v>141</v>
      </c>
      <c r="E22" s="447"/>
      <c r="F22" s="453"/>
      <c r="G22" s="454">
        <f t="shared" si="0"/>
        <v>0</v>
      </c>
      <c r="H22" s="455"/>
      <c r="I22" s="358"/>
      <c r="J22" s="401"/>
    </row>
    <row r="23" spans="1:10">
      <c r="A23" s="401"/>
      <c r="B23" s="358"/>
      <c r="C23" s="451">
        <v>0</v>
      </c>
      <c r="D23" s="452" t="s">
        <v>142</v>
      </c>
      <c r="E23" s="447"/>
      <c r="F23" s="453"/>
      <c r="G23" s="454">
        <f t="shared" si="0"/>
        <v>0</v>
      </c>
      <c r="H23" s="455"/>
      <c r="I23" s="358"/>
      <c r="J23" s="401"/>
    </row>
    <row r="24" spans="1:10">
      <c r="A24" s="401"/>
      <c r="B24" s="358"/>
      <c r="C24" s="451">
        <v>0</v>
      </c>
      <c r="D24" s="452" t="s">
        <v>143</v>
      </c>
      <c r="E24" s="447"/>
      <c r="F24" s="453"/>
      <c r="G24" s="454">
        <f t="shared" si="0"/>
        <v>0</v>
      </c>
      <c r="H24" s="455"/>
      <c r="I24" s="358"/>
      <c r="J24" s="401"/>
    </row>
    <row r="25" spans="1:10" ht="15" thickBot="1">
      <c r="A25" s="401"/>
      <c r="B25" s="358"/>
      <c r="C25" s="456">
        <v>0</v>
      </c>
      <c r="D25" s="457" t="s">
        <v>144</v>
      </c>
      <c r="E25" s="447"/>
      <c r="F25" s="458"/>
      <c r="G25" s="459">
        <f t="shared" si="0"/>
        <v>0</v>
      </c>
      <c r="H25" s="460"/>
      <c r="I25" s="358"/>
      <c r="J25" s="401"/>
    </row>
    <row r="26" spans="1:10" ht="29.5" thickBot="1">
      <c r="A26" s="401"/>
      <c r="B26" s="358"/>
      <c r="C26" s="461">
        <f>'Punktevergabe Übersicht'!D14*'Punktevergabe Übersicht'!D15</f>
        <v>0</v>
      </c>
      <c r="D26" s="282" t="s">
        <v>145</v>
      </c>
      <c r="E26" s="272"/>
      <c r="F26" s="284" t="s">
        <v>146</v>
      </c>
      <c r="G26" s="235">
        <f>SUM(G18:G25)</f>
        <v>0</v>
      </c>
      <c r="H26" s="234"/>
      <c r="I26" s="358"/>
      <c r="J26" s="401"/>
    </row>
    <row r="27" spans="1:10" ht="15" thickBot="1">
      <c r="A27" s="401"/>
      <c r="B27" s="358"/>
      <c r="C27" s="462"/>
      <c r="D27" s="267"/>
      <c r="E27" s="271"/>
      <c r="F27" s="269"/>
      <c r="G27" s="270"/>
      <c r="H27" s="269"/>
      <c r="I27" s="358"/>
      <c r="J27" s="401"/>
    </row>
    <row r="28" spans="1:10" ht="29.5" thickBot="1">
      <c r="A28" s="401"/>
      <c r="B28" s="358"/>
      <c r="C28" s="216" t="s">
        <v>123</v>
      </c>
      <c r="D28" s="283" t="s">
        <v>147</v>
      </c>
      <c r="E28" s="271"/>
      <c r="F28" s="285" t="s">
        <v>135</v>
      </c>
      <c r="G28" s="281" t="s">
        <v>136</v>
      </c>
      <c r="H28" s="273" t="s">
        <v>125</v>
      </c>
      <c r="I28" s="358"/>
      <c r="J28" s="401"/>
    </row>
    <row r="29" spans="1:10" ht="29">
      <c r="A29" s="401"/>
      <c r="B29" s="358"/>
      <c r="C29" s="463">
        <v>0</v>
      </c>
      <c r="D29" s="446" t="s">
        <v>148</v>
      </c>
      <c r="E29" s="416"/>
      <c r="F29" s="464">
        <f>IF(Produktion!$C$11=0,'THG-Emissionen ohne Zertifikat'!G3,'THG-Emissionen mit Zertifikat'!F3)</f>
        <v>0.375</v>
      </c>
      <c r="G29" s="454">
        <f>F29*C29</f>
        <v>0</v>
      </c>
      <c r="H29" s="465" t="s">
        <v>149</v>
      </c>
      <c r="I29" s="358"/>
      <c r="J29" s="401"/>
    </row>
    <row r="30" spans="1:10">
      <c r="A30" s="401"/>
      <c r="B30" s="358"/>
      <c r="C30" s="466">
        <v>0</v>
      </c>
      <c r="D30" s="452" t="s">
        <v>150</v>
      </c>
      <c r="E30" s="416"/>
      <c r="F30" s="467"/>
      <c r="G30" s="454">
        <f>F30*C30</f>
        <v>0</v>
      </c>
      <c r="H30" s="468"/>
      <c r="I30" s="358"/>
      <c r="J30" s="401"/>
    </row>
    <row r="31" spans="1:10">
      <c r="A31" s="401"/>
      <c r="B31" s="358"/>
      <c r="C31" s="466">
        <v>0</v>
      </c>
      <c r="D31" s="452" t="s">
        <v>151</v>
      </c>
      <c r="E31" s="416"/>
      <c r="F31" s="467"/>
      <c r="G31" s="454">
        <f t="shared" ref="G31:G32" si="1">F31*C31</f>
        <v>0</v>
      </c>
      <c r="H31" s="468"/>
      <c r="I31" s="358"/>
      <c r="J31" s="401"/>
    </row>
    <row r="32" spans="1:10" ht="14.5" customHeight="1" thickBot="1">
      <c r="A32" s="401"/>
      <c r="B32" s="358"/>
      <c r="C32" s="469">
        <v>0</v>
      </c>
      <c r="D32" s="457" t="s">
        <v>152</v>
      </c>
      <c r="E32" s="416"/>
      <c r="F32" s="470"/>
      <c r="G32" s="454">
        <f t="shared" si="1"/>
        <v>0</v>
      </c>
      <c r="H32" s="468"/>
      <c r="I32" s="358"/>
      <c r="J32" s="401"/>
    </row>
    <row r="33" spans="1:10" ht="29.5" thickBot="1">
      <c r="A33" s="401"/>
      <c r="B33" s="358"/>
      <c r="C33" s="461">
        <f>'Punktevergabe Übersicht'!D14*'Punktevergabe Übersicht'!D16</f>
        <v>0</v>
      </c>
      <c r="D33" s="282" t="s">
        <v>153</v>
      </c>
      <c r="E33" s="272"/>
      <c r="F33" s="284" t="s">
        <v>154</v>
      </c>
      <c r="G33" s="236">
        <f>SUM(G29:G32)</f>
        <v>0</v>
      </c>
      <c r="H33" s="234"/>
      <c r="I33" s="358"/>
      <c r="J33" s="401"/>
    </row>
    <row r="34" spans="1:10">
      <c r="A34" s="401"/>
      <c r="B34" s="358"/>
      <c r="C34" s="358"/>
      <c r="D34" s="358"/>
      <c r="E34" s="358"/>
      <c r="F34" s="358"/>
      <c r="G34" s="358"/>
      <c r="H34" s="358"/>
      <c r="I34" s="358"/>
      <c r="J34" s="401"/>
    </row>
    <row r="35" spans="1:10">
      <c r="A35" s="401"/>
      <c r="B35" s="401"/>
      <c r="C35" s="401"/>
      <c r="D35" s="401"/>
      <c r="E35" s="401"/>
      <c r="F35" s="401"/>
      <c r="G35" s="401"/>
      <c r="H35" s="401"/>
      <c r="I35" s="401"/>
      <c r="J35" s="401"/>
    </row>
  </sheetData>
  <phoneticPr fontId="36" type="noConversion"/>
  <conditionalFormatting sqref="F11:F15 F7:G7 F8:H8">
    <cfRule type="cellIs" dxfId="126" priority="3" operator="equal">
      <formula>"Nein"</formula>
    </cfRule>
    <cfRule type="cellIs" dxfId="125" priority="4" operator="equal">
      <formula>"Ja"</formula>
    </cfRule>
  </conditionalFormatting>
  <dataValidations disablePrompts="1" count="1">
    <dataValidation type="list" allowBlank="1" showInputMessage="1" showErrorMessage="1" sqref="F11:F15" xr:uid="{32964096-1785-4D53-BF85-9766E68657BB}">
      <formula1>"[Bitte auswählen],Ja,Nein"</formula1>
    </dataValidation>
  </dataValidations>
  <hyperlinks>
    <hyperlink ref="K3" location="'Aufbau LCC-CO2-Tool'!A1" display="zurück zur Übersicht" xr:uid="{4679D614-9434-4BB5-8F94-42C3802EFAA9}"/>
    <hyperlink ref="K4" location="'Anleitung für Beschaffende'!A13" display="zurück zur Anleitung für Beschaffende " xr:uid="{D020F3DF-0DF4-4ADF-9EFE-8BC355FB1796}"/>
    <hyperlink ref="K5" location="'Anleitung für Bietende'!A22" display="zurück zur Anleitung für Bietende" xr:uid="{2EFB2E73-A539-4CD1-BCA9-5D97B56E8279}"/>
  </hyperlinks>
  <pageMargins left="0.70866141732283472" right="0.70866141732283472" top="0.78740157480314965" bottom="0.78740157480314965" header="0.31496062992125984" footer="0.31496062992125984"/>
  <pageSetup paperSize="9" scale="72" orientation="landscape" r:id="rId1"/>
  <headerFooter>
    <oddHeader>&amp;C&amp;14&amp;KFF0000TESTVERSION!</oddHeader>
    <oddFooter>&amp;L&amp;8&amp;K000000LCC-CO2-Tool - Arbeitshilfe des Umweltbundesamtes&amp;C&amp;8Punktevergabe Details&amp;R&amp;8&amp;P</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tabColor rgb="FF88DEFF"/>
    <pageSetUpPr fitToPage="1"/>
  </sheetPr>
  <dimension ref="A1:L35"/>
  <sheetViews>
    <sheetView showGridLines="0" topLeftCell="A4" zoomScaleNormal="100" workbookViewId="0">
      <selection activeCell="G15" sqref="G15"/>
    </sheetView>
  </sheetViews>
  <sheetFormatPr baseColWidth="10" defaultColWidth="11.08203125" defaultRowHeight="14.5"/>
  <cols>
    <col min="1" max="1" width="2.08203125" style="55" customWidth="1"/>
    <col min="2" max="2" width="3.58203125" style="55" customWidth="1"/>
    <col min="3" max="3" width="28.5" style="55" customWidth="1"/>
    <col min="4" max="4" width="64.58203125" style="55" customWidth="1"/>
    <col min="5" max="6" width="20" style="55" customWidth="1"/>
    <col min="7" max="7" width="15.4140625" style="55" customWidth="1"/>
    <col min="8" max="8" width="3.58203125" style="55" customWidth="1"/>
    <col min="9" max="9" width="2.08203125" style="55" customWidth="1"/>
    <col min="10" max="14" width="11.08203125" style="55"/>
    <col min="15" max="15" width="36.58203125" style="55" customWidth="1"/>
    <col min="16" max="16384" width="11.08203125" style="55"/>
  </cols>
  <sheetData>
    <row r="1" spans="1:12">
      <c r="A1" s="471"/>
      <c r="B1" s="471"/>
      <c r="C1" s="471"/>
      <c r="D1" s="472"/>
      <c r="E1" s="472"/>
      <c r="F1" s="472"/>
      <c r="G1" s="471"/>
      <c r="H1" s="472"/>
      <c r="I1" s="471"/>
      <c r="J1" s="358"/>
      <c r="K1" s="358"/>
      <c r="L1" s="358"/>
    </row>
    <row r="2" spans="1:12" ht="33.5">
      <c r="A2" s="471"/>
      <c r="B2" s="72"/>
      <c r="C2" s="68" t="s">
        <v>155</v>
      </c>
      <c r="D2" s="358"/>
      <c r="E2" s="358"/>
      <c r="F2" s="358"/>
      <c r="G2" s="68"/>
      <c r="H2" s="56"/>
      <c r="I2" s="471"/>
      <c r="J2" s="358"/>
      <c r="K2" s="358"/>
      <c r="L2" s="358"/>
    </row>
    <row r="3" spans="1:12" ht="33.5">
      <c r="A3" s="471"/>
      <c r="B3" s="369"/>
      <c r="C3" s="358" t="s">
        <v>92</v>
      </c>
      <c r="D3" s="57"/>
      <c r="E3" s="57"/>
      <c r="F3" s="57"/>
      <c r="G3" s="56"/>
      <c r="H3" s="57"/>
      <c r="I3" s="471"/>
      <c r="K3" s="358"/>
      <c r="L3" s="358"/>
    </row>
    <row r="4" spans="1:12">
      <c r="A4" s="471"/>
      <c r="B4" s="358"/>
      <c r="C4" s="403" t="s">
        <v>44</v>
      </c>
      <c r="D4" s="358"/>
      <c r="E4" s="358"/>
      <c r="F4" s="358"/>
      <c r="G4" s="1001" t="s">
        <v>1886</v>
      </c>
      <c r="H4" s="404"/>
      <c r="I4" s="471"/>
      <c r="K4" s="358"/>
      <c r="L4" s="358"/>
    </row>
    <row r="5" spans="1:12">
      <c r="A5" s="471"/>
      <c r="B5" s="358"/>
      <c r="C5" s="370" t="s">
        <v>120</v>
      </c>
      <c r="D5" s="358"/>
      <c r="E5" s="358"/>
      <c r="F5" s="358"/>
      <c r="G5" s="1001" t="s">
        <v>1887</v>
      </c>
      <c r="H5" s="404"/>
      <c r="I5" s="471"/>
      <c r="K5" s="358"/>
      <c r="L5" s="358"/>
    </row>
    <row r="6" spans="1:12" ht="15" thickBot="1">
      <c r="A6" s="471"/>
      <c r="B6" s="358"/>
      <c r="C6" s="358"/>
      <c r="D6" s="358"/>
      <c r="E6" s="358"/>
      <c r="F6" s="358"/>
      <c r="G6" s="1001" t="s">
        <v>1888</v>
      </c>
      <c r="H6" s="358"/>
      <c r="I6" s="471"/>
      <c r="J6" s="358"/>
      <c r="K6" s="358"/>
      <c r="L6" s="358"/>
    </row>
    <row r="7" spans="1:12" ht="16" thickBot="1">
      <c r="A7" s="471"/>
      <c r="B7" s="358"/>
      <c r="C7" s="711" t="s">
        <v>1864</v>
      </c>
      <c r="D7" s="712"/>
      <c r="F7" s="358"/>
      <c r="G7" s="358"/>
      <c r="H7" s="358"/>
      <c r="I7" s="471"/>
      <c r="J7" s="358"/>
      <c r="K7" s="358"/>
      <c r="L7" s="358"/>
    </row>
    <row r="8" spans="1:12">
      <c r="A8" s="471"/>
      <c r="B8" s="358"/>
      <c r="C8" s="358"/>
      <c r="D8" s="590"/>
      <c r="E8" s="704"/>
      <c r="F8" s="358"/>
      <c r="G8" s="358"/>
      <c r="H8" s="358"/>
      <c r="I8" s="471"/>
      <c r="J8" s="358"/>
      <c r="K8" s="358"/>
      <c r="L8" s="358"/>
    </row>
    <row r="9" spans="1:12">
      <c r="A9" s="471"/>
      <c r="B9" s="358"/>
      <c r="D9" s="473"/>
      <c r="E9" s="701" t="s">
        <v>1707</v>
      </c>
      <c r="F9" s="590"/>
      <c r="G9" s="358"/>
      <c r="H9" s="358"/>
      <c r="I9" s="471"/>
      <c r="J9" s="358"/>
      <c r="K9" s="358"/>
      <c r="L9" s="358"/>
    </row>
    <row r="10" spans="1:12">
      <c r="A10" s="471"/>
      <c r="B10" s="358"/>
      <c r="D10" s="705"/>
      <c r="E10" s="706" t="s">
        <v>1708</v>
      </c>
      <c r="F10" s="591"/>
      <c r="G10" s="358"/>
      <c r="H10" s="358"/>
      <c r="I10" s="471"/>
      <c r="J10" s="358"/>
      <c r="K10" s="358"/>
      <c r="L10" s="358"/>
    </row>
    <row r="11" spans="1:12" ht="58">
      <c r="A11" s="471"/>
      <c r="B11" s="358"/>
      <c r="C11" s="358"/>
      <c r="D11" s="72" t="s">
        <v>156</v>
      </c>
      <c r="E11" s="321" t="s">
        <v>1318</v>
      </c>
      <c r="F11" s="321" t="s">
        <v>1317</v>
      </c>
      <c r="G11" s="321" t="s">
        <v>1684</v>
      </c>
      <c r="H11" s="358"/>
      <c r="I11" s="471"/>
      <c r="J11" s="483"/>
      <c r="K11" s="483"/>
      <c r="L11" s="483"/>
    </row>
    <row r="12" spans="1:12">
      <c r="A12" s="471"/>
      <c r="B12" s="358"/>
      <c r="C12" s="1006" t="s">
        <v>1907</v>
      </c>
      <c r="D12" s="1012" t="s">
        <v>1929</v>
      </c>
      <c r="E12" s="527"/>
      <c r="F12" s="534"/>
      <c r="G12" s="476">
        <f>600*3.33</f>
        <v>1998</v>
      </c>
      <c r="H12" s="358"/>
      <c r="I12" s="471"/>
      <c r="J12" s="358"/>
      <c r="K12" s="358"/>
      <c r="L12" s="358"/>
    </row>
    <row r="13" spans="1:12">
      <c r="A13" s="471"/>
      <c r="B13" s="358"/>
      <c r="C13" s="1006" t="s">
        <v>1906</v>
      </c>
      <c r="D13" s="1012" t="s">
        <v>1930</v>
      </c>
      <c r="E13" s="527"/>
      <c r="F13" s="534"/>
      <c r="G13" s="476">
        <f>100*1.67</f>
        <v>167</v>
      </c>
      <c r="H13" s="358"/>
      <c r="I13" s="471"/>
      <c r="J13" s="358"/>
      <c r="K13" s="358"/>
      <c r="L13" s="358"/>
    </row>
    <row r="14" spans="1:12">
      <c r="A14" s="471"/>
      <c r="B14" s="358"/>
      <c r="C14" s="702" t="s">
        <v>157</v>
      </c>
      <c r="D14" s="1012" t="s">
        <v>1931</v>
      </c>
      <c r="E14" s="527"/>
      <c r="F14" s="534"/>
      <c r="G14" s="476">
        <f>50*1.67</f>
        <v>83.5</v>
      </c>
      <c r="H14" s="358"/>
      <c r="I14" s="471"/>
      <c r="J14" s="358"/>
      <c r="K14" s="358"/>
      <c r="L14" s="358"/>
    </row>
    <row r="15" spans="1:12">
      <c r="A15" s="471"/>
      <c r="B15" s="358"/>
      <c r="C15" s="702" t="s">
        <v>158</v>
      </c>
      <c r="D15" s="1012" t="s">
        <v>1932</v>
      </c>
      <c r="E15" s="527"/>
      <c r="F15" s="534"/>
      <c r="G15" s="476">
        <f>20*1.67</f>
        <v>33.4</v>
      </c>
      <c r="H15" s="358"/>
      <c r="I15" s="471"/>
      <c r="J15" s="358"/>
      <c r="K15" s="358"/>
      <c r="L15" s="358"/>
    </row>
    <row r="16" spans="1:12">
      <c r="A16" s="471"/>
      <c r="B16" s="358"/>
      <c r="C16" s="702" t="s">
        <v>159</v>
      </c>
      <c r="D16" s="421"/>
      <c r="E16" s="527"/>
      <c r="F16" s="534"/>
      <c r="G16" s="476">
        <v>0</v>
      </c>
      <c r="H16" s="358"/>
      <c r="I16" s="471"/>
      <c r="J16" s="358"/>
      <c r="K16" s="358"/>
      <c r="L16" s="358"/>
    </row>
    <row r="17" spans="1:9">
      <c r="A17" s="471"/>
      <c r="B17" s="358"/>
      <c r="C17" s="702" t="s">
        <v>160</v>
      </c>
      <c r="D17" s="421"/>
      <c r="E17" s="527"/>
      <c r="F17" s="534"/>
      <c r="G17" s="476">
        <v>0</v>
      </c>
      <c r="H17" s="358"/>
      <c r="I17" s="471"/>
    </row>
    <row r="18" spans="1:9">
      <c r="A18" s="471"/>
      <c r="B18" s="358"/>
      <c r="C18" s="702" t="s">
        <v>161</v>
      </c>
      <c r="D18" s="421"/>
      <c r="E18" s="527"/>
      <c r="F18" s="534"/>
      <c r="G18" s="476">
        <v>0</v>
      </c>
      <c r="H18" s="358"/>
      <c r="I18" s="471"/>
    </row>
    <row r="19" spans="1:9">
      <c r="A19" s="471"/>
      <c r="B19" s="358"/>
      <c r="C19" s="702" t="s">
        <v>162</v>
      </c>
      <c r="D19" s="421"/>
      <c r="E19" s="527"/>
      <c r="F19" s="534"/>
      <c r="G19" s="476">
        <v>0</v>
      </c>
      <c r="H19" s="358"/>
      <c r="I19" s="471"/>
    </row>
    <row r="20" spans="1:9">
      <c r="A20" s="471"/>
      <c r="B20" s="358"/>
      <c r="C20" s="702" t="s">
        <v>163</v>
      </c>
      <c r="D20" s="421"/>
      <c r="E20" s="527"/>
      <c r="F20" s="534"/>
      <c r="G20" s="476">
        <v>0</v>
      </c>
      <c r="H20" s="358"/>
      <c r="I20" s="471"/>
    </row>
    <row r="21" spans="1:9">
      <c r="A21" s="471"/>
      <c r="B21" s="358"/>
      <c r="C21" s="702" t="s">
        <v>164</v>
      </c>
      <c r="D21" s="421"/>
      <c r="E21" s="527"/>
      <c r="F21" s="534"/>
      <c r="G21" s="476">
        <v>0</v>
      </c>
      <c r="H21" s="358"/>
      <c r="I21" s="471"/>
    </row>
    <row r="22" spans="1:9">
      <c r="A22" s="471"/>
      <c r="B22" s="358"/>
      <c r="C22" s="702" t="s">
        <v>165</v>
      </c>
      <c r="D22" s="421"/>
      <c r="E22" s="527"/>
      <c r="F22" s="534"/>
      <c r="G22" s="476">
        <v>0</v>
      </c>
      <c r="H22" s="358"/>
      <c r="I22" s="471"/>
    </row>
    <row r="23" spans="1:9">
      <c r="A23" s="471"/>
      <c r="B23" s="358"/>
      <c r="C23" s="702" t="s">
        <v>166</v>
      </c>
      <c r="D23" s="421"/>
      <c r="E23" s="527"/>
      <c r="F23" s="534"/>
      <c r="G23" s="476">
        <v>0</v>
      </c>
      <c r="H23" s="358"/>
      <c r="I23" s="471"/>
    </row>
    <row r="24" spans="1:9">
      <c r="A24" s="471"/>
      <c r="B24" s="358"/>
      <c r="C24" s="702" t="s">
        <v>167</v>
      </c>
      <c r="D24" s="421"/>
      <c r="E24" s="527"/>
      <c r="F24" s="534"/>
      <c r="G24" s="476">
        <v>0</v>
      </c>
      <c r="H24" s="358"/>
      <c r="I24" s="471"/>
    </row>
    <row r="25" spans="1:9">
      <c r="A25" s="471"/>
      <c r="B25" s="358"/>
      <c r="C25" s="702" t="s">
        <v>168</v>
      </c>
      <c r="D25" s="421"/>
      <c r="E25" s="527"/>
      <c r="F25" s="534"/>
      <c r="G25" s="476">
        <v>0</v>
      </c>
      <c r="H25" s="358"/>
      <c r="I25" s="471"/>
    </row>
    <row r="26" spans="1:9">
      <c r="A26" s="471"/>
      <c r="B26" s="358"/>
      <c r="C26" s="702" t="s">
        <v>169</v>
      </c>
      <c r="D26" s="421"/>
      <c r="E26" s="527"/>
      <c r="F26" s="534"/>
      <c r="G26" s="476">
        <v>0</v>
      </c>
      <c r="H26" s="358"/>
      <c r="I26" s="471"/>
    </row>
    <row r="27" spans="1:9">
      <c r="A27" s="471"/>
      <c r="B27" s="358"/>
      <c r="C27" s="702" t="s">
        <v>170</v>
      </c>
      <c r="D27" s="421"/>
      <c r="E27" s="527"/>
      <c r="F27" s="534"/>
      <c r="G27" s="476">
        <v>0</v>
      </c>
      <c r="H27" s="358"/>
      <c r="I27" s="471"/>
    </row>
    <row r="28" spans="1:9">
      <c r="A28" s="471"/>
      <c r="B28" s="358"/>
      <c r="C28" s="702" t="s">
        <v>171</v>
      </c>
      <c r="D28" s="421"/>
      <c r="E28" s="527"/>
      <c r="F28" s="534"/>
      <c r="G28" s="476">
        <v>0</v>
      </c>
      <c r="H28" s="358"/>
      <c r="I28" s="471"/>
    </row>
    <row r="29" spans="1:9">
      <c r="A29" s="471"/>
      <c r="B29" s="358"/>
      <c r="C29" s="702" t="s">
        <v>172</v>
      </c>
      <c r="D29" s="421"/>
      <c r="E29" s="527"/>
      <c r="F29" s="534"/>
      <c r="G29" s="476">
        <v>0</v>
      </c>
      <c r="H29" s="358"/>
      <c r="I29" s="471"/>
    </row>
    <row r="30" spans="1:9">
      <c r="A30" s="471"/>
      <c r="B30" s="358"/>
      <c r="C30" s="702" t="s">
        <v>173</v>
      </c>
      <c r="D30" s="421"/>
      <c r="E30" s="527"/>
      <c r="F30" s="534"/>
      <c r="G30" s="476">
        <v>0</v>
      </c>
      <c r="H30" s="358"/>
      <c r="I30" s="471"/>
    </row>
    <row r="31" spans="1:9" ht="15" thickBot="1">
      <c r="A31" s="471"/>
      <c r="B31" s="358"/>
      <c r="C31" s="702" t="s">
        <v>174</v>
      </c>
      <c r="D31" s="421"/>
      <c r="E31" s="527"/>
      <c r="F31" s="534"/>
      <c r="G31" s="476">
        <v>0</v>
      </c>
      <c r="H31" s="358"/>
      <c r="I31" s="471"/>
    </row>
    <row r="32" spans="1:9" ht="44" thickBot="1">
      <c r="A32" s="471"/>
      <c r="B32" s="358"/>
      <c r="C32" s="358"/>
      <c r="F32" s="597" t="s">
        <v>1685</v>
      </c>
      <c r="G32" s="291">
        <f>SUM(G12:G31)</f>
        <v>2281.9</v>
      </c>
      <c r="H32" s="358"/>
      <c r="I32" s="471"/>
    </row>
    <row r="33" spans="1:9">
      <c r="A33" s="471"/>
      <c r="B33" s="358"/>
      <c r="C33" s="358"/>
      <c r="D33" s="358"/>
      <c r="E33" s="358"/>
      <c r="F33" s="358"/>
      <c r="G33" s="301" t="s">
        <v>175</v>
      </c>
      <c r="H33" s="358"/>
      <c r="I33" s="471"/>
    </row>
    <row r="34" spans="1:9">
      <c r="A34" s="471"/>
      <c r="B34" s="358"/>
      <c r="C34" s="358"/>
      <c r="D34" s="358"/>
      <c r="E34" s="358"/>
      <c r="F34" s="358"/>
      <c r="G34" s="358"/>
      <c r="H34" s="358"/>
      <c r="I34" s="471"/>
    </row>
    <row r="35" spans="1:9">
      <c r="A35" s="471"/>
      <c r="B35" s="471"/>
      <c r="C35" s="471"/>
      <c r="D35" s="471"/>
      <c r="E35" s="471"/>
      <c r="F35" s="471"/>
      <c r="G35" s="471"/>
      <c r="H35" s="471"/>
      <c r="I35" s="471"/>
    </row>
  </sheetData>
  <phoneticPr fontId="36" type="noConversion"/>
  <hyperlinks>
    <hyperlink ref="G4" location="'Aufbau LCC-CO2-Tool'!A1" display="zurück zur Übersicht" xr:uid="{78FBEAAA-A88D-4706-8AB6-CFA6EFD1E228}"/>
    <hyperlink ref="G5" location="'Anleitung für Beschaffende'!A14" display="zurück zur Anleitung für Beschaffende " xr:uid="{E3130D11-F538-49AD-BAED-91628C95E469}"/>
    <hyperlink ref="G6" location="'Anleitung für Bietende'!A10" display="zurück zur Anleitung für Bietende" xr:uid="{A8423107-73EE-4085-82D5-3124CD8CEE1A}"/>
  </hyperlinks>
  <pageMargins left="0.70866141732283472" right="0.70866141732283472" top="0.78740157480314965" bottom="0.78740157480314965" header="0.31496062992125984" footer="0.31496062992125984"/>
  <pageSetup paperSize="9" scale="75" orientation="landscape" r:id="rId1"/>
  <headerFooter>
    <oddHeader>&amp;C&amp;14&amp;KFF0000TESTVERSION!</oddHeader>
    <oddFooter>&amp;L&amp;8&amp;K000000LCC-CO2-Tool - Arbeitshilfe des Umweltbundesamtes &amp;C&amp;8Berechnung der Einmalkosten&amp;R&amp;8&amp;P</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7">
    <tabColor rgb="FF88DEFF"/>
    <pageSetUpPr fitToPage="1"/>
  </sheetPr>
  <dimension ref="A1:J23"/>
  <sheetViews>
    <sheetView showGridLines="0" zoomScaleNormal="100" workbookViewId="0"/>
  </sheetViews>
  <sheetFormatPr baseColWidth="10" defaultColWidth="11.08203125" defaultRowHeight="14.5"/>
  <cols>
    <col min="1" max="1" width="2.08203125" style="55" customWidth="1"/>
    <col min="2" max="2" width="3.58203125" style="55" customWidth="1"/>
    <col min="3" max="3" width="21.9140625" style="55" customWidth="1"/>
    <col min="4" max="4" width="49.58203125" style="55" customWidth="1"/>
    <col min="5" max="5" width="18.58203125" style="55" customWidth="1"/>
    <col min="6" max="6" width="3.58203125" style="55" customWidth="1"/>
    <col min="7" max="7" width="2.08203125" style="55" customWidth="1"/>
    <col min="8" max="12" width="11.08203125" style="55"/>
    <col min="13" max="13" width="36.58203125" style="55" customWidth="1"/>
    <col min="14" max="16384" width="11.08203125" style="55"/>
  </cols>
  <sheetData>
    <row r="1" spans="1:10">
      <c r="A1" s="471"/>
      <c r="B1" s="471"/>
      <c r="C1" s="471"/>
      <c r="D1" s="472"/>
      <c r="E1" s="471"/>
      <c r="F1" s="472"/>
      <c r="G1" s="471"/>
      <c r="H1" s="358"/>
      <c r="I1" s="358"/>
      <c r="J1" s="358"/>
    </row>
    <row r="2" spans="1:10" ht="33.65" customHeight="1">
      <c r="A2" s="471"/>
      <c r="B2" s="68"/>
      <c r="C2" s="68" t="s">
        <v>176</v>
      </c>
      <c r="D2" s="68"/>
      <c r="E2" s="68"/>
      <c r="F2" s="56"/>
      <c r="G2" s="471"/>
      <c r="H2" s="358"/>
      <c r="I2" s="358"/>
      <c r="J2" s="358"/>
    </row>
    <row r="3" spans="1:10" ht="33.5">
      <c r="A3" s="471"/>
      <c r="B3" s="369"/>
      <c r="C3" s="287" t="s">
        <v>177</v>
      </c>
      <c r="D3" s="57"/>
      <c r="E3" s="56"/>
      <c r="F3" s="57"/>
      <c r="G3" s="471"/>
      <c r="H3" s="996" t="s">
        <v>1886</v>
      </c>
      <c r="I3" s="358"/>
      <c r="J3" s="358"/>
    </row>
    <row r="4" spans="1:10">
      <c r="A4" s="471"/>
      <c r="B4" s="358"/>
      <c r="C4" s="358" t="s">
        <v>92</v>
      </c>
      <c r="E4" s="358"/>
      <c r="F4" s="404"/>
      <c r="G4" s="471"/>
      <c r="H4" s="996" t="s">
        <v>1887</v>
      </c>
      <c r="I4" s="358"/>
      <c r="J4" s="358"/>
    </row>
    <row r="5" spans="1:10">
      <c r="A5" s="471"/>
      <c r="B5" s="358"/>
      <c r="C5" s="370" t="s">
        <v>120</v>
      </c>
      <c r="E5" s="358"/>
      <c r="F5" s="404"/>
      <c r="G5" s="471"/>
      <c r="H5" s="996" t="s">
        <v>1888</v>
      </c>
      <c r="I5" s="358"/>
      <c r="J5" s="358"/>
    </row>
    <row r="6" spans="1:10">
      <c r="A6" s="471"/>
      <c r="B6" s="358"/>
      <c r="C6" s="358"/>
      <c r="D6" s="358"/>
      <c r="E6" s="358"/>
      <c r="F6" s="358"/>
      <c r="G6" s="471"/>
      <c r="H6" s="358"/>
      <c r="I6" s="358"/>
      <c r="J6" s="358"/>
    </row>
    <row r="7" spans="1:10">
      <c r="A7" s="471"/>
      <c r="B7" s="358"/>
      <c r="C7" s="358"/>
      <c r="D7" s="358"/>
      <c r="E7" s="358"/>
      <c r="F7" s="358"/>
      <c r="G7" s="471"/>
      <c r="H7" s="358"/>
      <c r="I7" s="358"/>
      <c r="J7" s="358"/>
    </row>
    <row r="8" spans="1:10">
      <c r="A8" s="471"/>
      <c r="B8" s="358"/>
      <c r="C8" s="358"/>
      <c r="D8" s="477" t="s">
        <v>178</v>
      </c>
      <c r="E8" s="478">
        <v>0</v>
      </c>
      <c r="F8" s="358"/>
      <c r="G8" s="471"/>
      <c r="H8" s="358"/>
      <c r="I8" s="358"/>
      <c r="J8" s="358"/>
    </row>
    <row r="9" spans="1:10">
      <c r="A9" s="471"/>
      <c r="B9" s="358"/>
      <c r="C9" s="358"/>
      <c r="D9" s="477" t="s">
        <v>179</v>
      </c>
      <c r="E9" s="478">
        <v>0</v>
      </c>
      <c r="F9" s="358"/>
      <c r="G9" s="471"/>
      <c r="H9" s="358"/>
      <c r="I9" s="358"/>
      <c r="J9" s="358"/>
    </row>
    <row r="10" spans="1:10" ht="15" thickBot="1">
      <c r="A10" s="471"/>
      <c r="B10" s="358"/>
      <c r="C10" s="358"/>
      <c r="D10" s="477" t="s">
        <v>180</v>
      </c>
      <c r="E10" s="478">
        <v>0</v>
      </c>
      <c r="F10" s="358"/>
      <c r="G10" s="471"/>
      <c r="H10" s="358"/>
      <c r="I10" s="358"/>
      <c r="J10" s="358"/>
    </row>
    <row r="11" spans="1:10" ht="29.5" thickBot="1">
      <c r="A11" s="471"/>
      <c r="B11" s="358"/>
      <c r="C11" s="358"/>
      <c r="D11" s="597" t="s">
        <v>1687</v>
      </c>
      <c r="E11" s="289">
        <f>SUM(E8:E10)</f>
        <v>0</v>
      </c>
      <c r="F11" s="358"/>
      <c r="G11" s="471"/>
      <c r="H11" s="483"/>
      <c r="I11" s="483"/>
      <c r="J11" s="483"/>
    </row>
    <row r="12" spans="1:10">
      <c r="A12" s="471"/>
      <c r="B12" s="358"/>
      <c r="C12" s="358"/>
      <c r="D12" s="358"/>
      <c r="E12" s="598" t="s">
        <v>175</v>
      </c>
      <c r="F12" s="358"/>
      <c r="G12" s="471"/>
      <c r="H12" s="358"/>
      <c r="I12" s="358"/>
      <c r="J12" s="358"/>
    </row>
    <row r="13" spans="1:10">
      <c r="A13" s="471"/>
      <c r="B13" s="358"/>
      <c r="C13" s="358"/>
      <c r="D13" s="358"/>
      <c r="E13" s="358"/>
      <c r="F13" s="358"/>
      <c r="G13" s="471"/>
      <c r="H13" s="358"/>
      <c r="I13" s="358"/>
      <c r="J13" s="358"/>
    </row>
    <row r="14" spans="1:10">
      <c r="A14" s="471"/>
      <c r="B14" s="358"/>
      <c r="C14" s="358"/>
      <c r="D14" s="477" t="s">
        <v>181</v>
      </c>
      <c r="E14" s="478">
        <v>0</v>
      </c>
      <c r="F14" s="358"/>
      <c r="G14" s="471"/>
      <c r="H14" s="358"/>
      <c r="I14" s="358"/>
      <c r="J14" s="358"/>
    </row>
    <row r="15" spans="1:10">
      <c r="A15" s="471"/>
      <c r="B15" s="358"/>
      <c r="C15" s="358"/>
      <c r="D15" s="477" t="s">
        <v>182</v>
      </c>
      <c r="E15" s="478">
        <v>0</v>
      </c>
      <c r="F15" s="358"/>
      <c r="G15" s="471"/>
      <c r="H15" s="358"/>
      <c r="I15" s="358"/>
      <c r="J15" s="358"/>
    </row>
    <row r="16" spans="1:10" ht="15" thickBot="1">
      <c r="A16" s="471"/>
      <c r="B16" s="358"/>
      <c r="C16" s="358"/>
      <c r="D16" s="477" t="s">
        <v>183</v>
      </c>
      <c r="E16" s="478">
        <v>0</v>
      </c>
      <c r="F16" s="358"/>
      <c r="G16" s="471"/>
      <c r="H16" s="358"/>
      <c r="I16" s="358"/>
      <c r="J16" s="358"/>
    </row>
    <row r="17" spans="1:10" ht="29.5" thickBot="1">
      <c r="A17" s="471"/>
      <c r="B17" s="358"/>
      <c r="C17" s="358"/>
      <c r="D17" s="597" t="s">
        <v>1688</v>
      </c>
      <c r="E17" s="289">
        <f>SUM(E14:E16)</f>
        <v>0</v>
      </c>
      <c r="F17" s="358"/>
      <c r="G17" s="471"/>
      <c r="H17" s="483"/>
      <c r="I17" s="483"/>
      <c r="J17" s="483"/>
    </row>
    <row r="18" spans="1:10">
      <c r="A18" s="471"/>
      <c r="B18" s="358"/>
      <c r="C18" s="358"/>
      <c r="D18" s="358"/>
      <c r="E18" s="598" t="s">
        <v>175</v>
      </c>
      <c r="F18" s="358"/>
      <c r="G18" s="471"/>
      <c r="H18" s="358"/>
      <c r="I18" s="358"/>
      <c r="J18" s="358"/>
    </row>
    <row r="19" spans="1:10" ht="15" thickBot="1">
      <c r="A19" s="471"/>
      <c r="B19" s="358"/>
      <c r="C19" s="358"/>
      <c r="D19" s="358"/>
      <c r="E19" s="598"/>
      <c r="F19" s="358"/>
      <c r="G19" s="471"/>
      <c r="H19" s="358"/>
      <c r="I19" s="358"/>
      <c r="J19" s="358"/>
    </row>
    <row r="20" spans="1:10" ht="29.5" thickBot="1">
      <c r="A20" s="471"/>
      <c r="B20" s="358"/>
      <c r="C20" s="358"/>
      <c r="D20" s="597" t="s">
        <v>1686</v>
      </c>
      <c r="E20" s="289">
        <f>SUM(E11,E17)</f>
        <v>0</v>
      </c>
      <c r="F20" s="358"/>
      <c r="G20" s="471"/>
      <c r="H20" s="358"/>
      <c r="I20" s="358"/>
      <c r="J20" s="358"/>
    </row>
    <row r="21" spans="1:10">
      <c r="A21" s="471"/>
      <c r="B21" s="358"/>
      <c r="C21" s="358"/>
      <c r="D21" s="358"/>
      <c r="E21" s="598" t="s">
        <v>175</v>
      </c>
      <c r="F21" s="358"/>
      <c r="G21" s="471"/>
      <c r="H21" s="358"/>
      <c r="I21" s="358"/>
      <c r="J21" s="358"/>
    </row>
    <row r="22" spans="1:10">
      <c r="A22" s="471"/>
      <c r="B22" s="358"/>
      <c r="C22" s="358"/>
      <c r="D22" s="358"/>
      <c r="E22" s="358"/>
      <c r="F22" s="358"/>
      <c r="G22" s="471"/>
      <c r="H22" s="358"/>
      <c r="I22" s="358"/>
      <c r="J22" s="358"/>
    </row>
    <row r="23" spans="1:10">
      <c r="A23" s="471"/>
      <c r="B23" s="471"/>
      <c r="C23" s="471"/>
      <c r="D23" s="471"/>
      <c r="E23" s="471"/>
      <c r="F23" s="471"/>
      <c r="G23" s="471"/>
      <c r="H23" s="358"/>
      <c r="I23" s="358"/>
      <c r="J23" s="358"/>
    </row>
  </sheetData>
  <phoneticPr fontId="36" type="noConversion"/>
  <hyperlinks>
    <hyperlink ref="H3" location="'Aufbau LCC-CO2-Tool'!A1" display="zurück zur Übersicht" xr:uid="{00BAF44D-2080-408F-BB19-FBC51F6EA436}"/>
    <hyperlink ref="H4" location="'Anleitung für Beschaffende'!A15" display="zurück zur Anleitung für Beschaffende " xr:uid="{8C681681-95A3-4AAB-911F-531C92BE3C14}"/>
    <hyperlink ref="H5" location="'Anleitung für Bietende'!A11" display="zurück zur Anleitung für Bietende" xr:uid="{47A67FE6-1472-4AD1-89FE-80EF12347AA5}"/>
  </hyperlinks>
  <pageMargins left="0.70866141732283472" right="0.70866141732283472" top="0.78740157480314965" bottom="0.78740157480314965" header="0.31496062992125984" footer="0.31496062992125984"/>
  <pageSetup paperSize="9" orientation="landscape" r:id="rId1"/>
  <headerFooter>
    <oddHeader>&amp;C&amp;14&amp;KFF0000TESTVERSION!</oddHeader>
    <oddFooter>&amp;L&amp;8&amp;K000000LCC-CO2-Tool - Arbeitshilfe des Umweltbundesamtes&amp;C&amp;8Berechnung Transport- und Installationskosten&amp;R&amp;8&amp;P</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6">
    <tabColor rgb="FF88DEFF"/>
    <pageSetUpPr fitToPage="1"/>
  </sheetPr>
  <dimension ref="A1:L77"/>
  <sheetViews>
    <sheetView showGridLines="0" topLeftCell="A59" zoomScaleNormal="100" workbookViewId="0">
      <selection activeCell="C66" sqref="C66"/>
    </sheetView>
  </sheetViews>
  <sheetFormatPr baseColWidth="10" defaultColWidth="11.08203125" defaultRowHeight="14.5"/>
  <cols>
    <col min="1" max="1" width="2.08203125" style="55" customWidth="1"/>
    <col min="2" max="2" width="3.58203125" style="55" customWidth="1"/>
    <col min="3" max="3" width="44" style="55" customWidth="1"/>
    <col min="4" max="4" width="15.83203125" style="55" customWidth="1"/>
    <col min="5" max="5" width="2.58203125" style="55" customWidth="1"/>
    <col min="6" max="6" width="20.1640625" style="55" customWidth="1"/>
    <col min="7" max="7" width="2.58203125" style="55" customWidth="1"/>
    <col min="8" max="8" width="18.58203125" style="55" customWidth="1"/>
    <col min="9" max="9" width="14.83203125" style="55" customWidth="1"/>
    <col min="10" max="10" width="2.58203125" style="55" customWidth="1"/>
    <col min="11" max="11" width="2.08203125" style="55" customWidth="1"/>
    <col min="12" max="16" width="11.08203125" style="55"/>
    <col min="17" max="17" width="36.58203125" style="55" customWidth="1"/>
    <col min="18" max="16384" width="11.08203125" style="55"/>
  </cols>
  <sheetData>
    <row r="1" spans="1:12">
      <c r="A1" s="471"/>
      <c r="B1" s="471"/>
      <c r="C1" s="472"/>
      <c r="D1" s="471"/>
      <c r="E1" s="471"/>
      <c r="F1" s="471"/>
      <c r="G1" s="471"/>
      <c r="H1" s="471"/>
      <c r="I1" s="472"/>
      <c r="J1" s="472"/>
      <c r="K1" s="471"/>
      <c r="L1" s="358"/>
    </row>
    <row r="2" spans="1:12" ht="33.5">
      <c r="A2" s="471"/>
      <c r="B2" s="72"/>
      <c r="C2" s="68" t="s">
        <v>184</v>
      </c>
      <c r="D2" s="68"/>
      <c r="E2" s="68"/>
      <c r="F2" s="68"/>
      <c r="G2" s="68"/>
      <c r="H2" s="68"/>
      <c r="I2" s="71"/>
      <c r="J2" s="71"/>
      <c r="K2" s="471"/>
      <c r="L2" s="358"/>
    </row>
    <row r="3" spans="1:12" ht="33.5">
      <c r="A3" s="471"/>
      <c r="B3" s="369"/>
      <c r="C3" s="358" t="s">
        <v>92</v>
      </c>
      <c r="D3" s="56"/>
      <c r="E3" s="56"/>
      <c r="F3" s="56"/>
      <c r="G3" s="56"/>
      <c r="H3" s="56"/>
      <c r="I3" s="57"/>
      <c r="J3" s="57"/>
      <c r="K3" s="471"/>
      <c r="L3" s="996" t="s">
        <v>1886</v>
      </c>
    </row>
    <row r="4" spans="1:12">
      <c r="A4" s="471"/>
      <c r="B4" s="358"/>
      <c r="C4" s="370" t="s">
        <v>120</v>
      </c>
      <c r="D4" s="358"/>
      <c r="E4" s="358"/>
      <c r="F4" s="358"/>
      <c r="G4" s="358"/>
      <c r="H4" s="358"/>
      <c r="I4" s="404"/>
      <c r="J4" s="404"/>
      <c r="K4" s="471"/>
      <c r="L4" s="996" t="s">
        <v>1887</v>
      </c>
    </row>
    <row r="5" spans="1:12">
      <c r="A5" s="471"/>
      <c r="B5" s="358"/>
      <c r="C5" s="374" t="s">
        <v>44</v>
      </c>
      <c r="D5" s="358"/>
      <c r="E5" s="358"/>
      <c r="F5" s="358"/>
      <c r="G5" s="358"/>
      <c r="H5" s="358"/>
      <c r="I5" s="404"/>
      <c r="J5" s="404"/>
      <c r="K5" s="471"/>
      <c r="L5" s="996" t="s">
        <v>1888</v>
      </c>
    </row>
    <row r="6" spans="1:12" ht="25" thickBot="1">
      <c r="A6" s="471"/>
      <c r="B6" s="358"/>
      <c r="C6" s="358"/>
      <c r="D6" s="358"/>
      <c r="E6" s="358"/>
      <c r="F6" s="358"/>
      <c r="G6" s="358"/>
      <c r="H6" s="846" t="s">
        <v>1775</v>
      </c>
      <c r="I6" s="358"/>
      <c r="J6" s="358"/>
      <c r="K6" s="471"/>
      <c r="L6" s="358"/>
    </row>
    <row r="7" spans="1:12" ht="15" thickBot="1">
      <c r="A7" s="471"/>
      <c r="B7" s="358"/>
      <c r="C7" s="358"/>
      <c r="D7" s="358"/>
      <c r="E7" s="358"/>
      <c r="F7" s="358"/>
      <c r="G7" s="288" t="s">
        <v>1913</v>
      </c>
      <c r="H7" s="289">
        <f>SUM(H11,H47,H62)</f>
        <v>702.46477656000002</v>
      </c>
      <c r="I7" s="292" t="s">
        <v>175</v>
      </c>
      <c r="J7" s="358"/>
      <c r="K7" s="471"/>
      <c r="L7" s="358"/>
    </row>
    <row r="8" spans="1:12" ht="15" thickBot="1">
      <c r="A8" s="471"/>
      <c r="B8" s="358"/>
      <c r="C8" s="358"/>
      <c r="D8" s="358"/>
      <c r="E8" s="358"/>
      <c r="F8" s="358"/>
      <c r="G8" s="358"/>
      <c r="H8" s="62"/>
      <c r="I8" s="358"/>
      <c r="J8" s="358"/>
      <c r="K8" s="471"/>
      <c r="L8" s="358"/>
    </row>
    <row r="9" spans="1:12" ht="15" thickBot="1">
      <c r="A9" s="471"/>
      <c r="B9" s="358"/>
      <c r="C9" s="358"/>
      <c r="D9" s="358"/>
      <c r="E9" s="358"/>
      <c r="F9" s="358"/>
      <c r="G9" s="288" t="s">
        <v>185</v>
      </c>
      <c r="H9" s="289">
        <f>IFERROR(H7/Nutzung!C8,0)</f>
        <v>70.246477655999996</v>
      </c>
      <c r="I9" s="292" t="s">
        <v>175</v>
      </c>
      <c r="J9" s="358"/>
      <c r="K9" s="471"/>
      <c r="L9" s="358"/>
    </row>
    <row r="10" spans="1:12" ht="21.5" thickBot="1">
      <c r="A10" s="471"/>
      <c r="B10" s="358"/>
      <c r="C10" s="296" t="s">
        <v>1689</v>
      </c>
      <c r="D10" s="483"/>
      <c r="E10" s="483"/>
      <c r="F10" s="483"/>
      <c r="G10" s="358"/>
      <c r="H10" s="62"/>
      <c r="I10" s="358"/>
      <c r="J10" s="358"/>
      <c r="K10" s="471"/>
      <c r="L10" s="358"/>
    </row>
    <row r="11" spans="1:12">
      <c r="A11" s="471"/>
      <c r="B11" s="358"/>
      <c r="C11" s="295"/>
      <c r="D11" s="479"/>
      <c r="E11" s="479"/>
      <c r="F11" s="479"/>
      <c r="G11" s="293" t="s">
        <v>1912</v>
      </c>
      <c r="H11" s="480">
        <f>((IFERROR(H17*VLOOKUP(G17,D22:H44,5,FALSE),0)+IFERROR(H18*VLOOKUP(G18,D22:H44,5,FALSE),0)+IFERROR(H19*VLOOKUP(G19,D22:H44,5,FALSE),0))*Nutzung!C8)</f>
        <v>190.36477656000005</v>
      </c>
      <c r="I11" s="292" t="s">
        <v>175</v>
      </c>
      <c r="J11" s="217"/>
      <c r="K11" s="471"/>
      <c r="L11" s="358"/>
    </row>
    <row r="12" spans="1:12">
      <c r="A12" s="471"/>
      <c r="B12" s="358"/>
      <c r="C12" s="481"/>
      <c r="D12" s="358"/>
      <c r="E12" s="358"/>
      <c r="F12" s="358"/>
      <c r="G12" s="294" t="s">
        <v>117</v>
      </c>
      <c r="H12" s="482">
        <f>IFERROR(H11/Nutzung!C8,0)</f>
        <v>19.036477656000006</v>
      </c>
      <c r="I12" s="292" t="s">
        <v>175</v>
      </c>
      <c r="J12" s="110"/>
      <c r="K12" s="471"/>
      <c r="L12" s="358"/>
    </row>
    <row r="13" spans="1:12">
      <c r="A13" s="471"/>
      <c r="B13" s="358"/>
      <c r="C13" s="481"/>
      <c r="D13" s="358"/>
      <c r="E13" s="358"/>
      <c r="F13" s="358"/>
      <c r="G13" s="869"/>
      <c r="H13" s="870"/>
      <c r="I13" s="292"/>
      <c r="J13" s="110"/>
      <c r="K13" s="471"/>
      <c r="L13" s="358"/>
    </row>
    <row r="14" spans="1:12">
      <c r="A14" s="471"/>
      <c r="B14" s="358"/>
      <c r="C14" s="73" t="s">
        <v>1695</v>
      </c>
      <c r="D14" s="358"/>
      <c r="E14" s="358"/>
      <c r="F14" s="358"/>
      <c r="G14" s="869"/>
      <c r="H14" s="870"/>
      <c r="I14" s="292"/>
      <c r="J14" s="110"/>
      <c r="K14" s="471"/>
      <c r="L14" s="358"/>
    </row>
    <row r="15" spans="1:12">
      <c r="A15" s="471"/>
      <c r="B15" s="358"/>
      <c r="C15" s="874" t="s">
        <v>1694</v>
      </c>
      <c r="D15" s="358"/>
      <c r="E15" s="358"/>
      <c r="F15" s="358"/>
      <c r="G15" s="869"/>
      <c r="H15" s="870"/>
      <c r="I15" s="292"/>
      <c r="J15" s="110"/>
      <c r="K15" s="471"/>
      <c r="L15" s="358"/>
    </row>
    <row r="16" spans="1:12" ht="21">
      <c r="A16" s="471"/>
      <c r="B16" s="358"/>
      <c r="C16" s="879" t="s">
        <v>1790</v>
      </c>
      <c r="D16" s="358"/>
      <c r="E16" s="358"/>
      <c r="F16" s="72" t="s">
        <v>1078</v>
      </c>
      <c r="G16" s="72"/>
      <c r="H16" s="871" t="s">
        <v>1787</v>
      </c>
      <c r="I16" s="358"/>
      <c r="J16" s="358"/>
      <c r="K16" s="471"/>
      <c r="L16" s="358"/>
    </row>
    <row r="17" spans="1:12" ht="14.15" customHeight="1">
      <c r="A17" s="471"/>
      <c r="B17" s="358"/>
      <c r="C17" s="875"/>
      <c r="D17" s="876"/>
      <c r="E17" s="877"/>
      <c r="F17" s="878"/>
      <c r="G17" s="623" t="str">
        <f>IF(H17=0,"",Nutzung!C18)</f>
        <v>Strommix_DE_kWh</v>
      </c>
      <c r="H17" s="624">
        <f>Nutzung!F18</f>
        <v>39.451020000000007</v>
      </c>
      <c r="I17" s="292" t="s">
        <v>186</v>
      </c>
      <c r="J17" s="358"/>
      <c r="K17" s="471"/>
      <c r="L17" s="358"/>
    </row>
    <row r="18" spans="1:12">
      <c r="A18" s="471"/>
      <c r="B18" s="358"/>
      <c r="C18" s="873"/>
      <c r="D18" s="358"/>
      <c r="F18" s="868"/>
      <c r="G18" s="625" t="str">
        <f>IF(H18=0,"",Nutzung!C19)</f>
        <v>Strommix_DE_kWh</v>
      </c>
      <c r="H18" s="626">
        <f>Nutzung!F19</f>
        <v>22.922760000000004</v>
      </c>
      <c r="I18" s="292" t="s">
        <v>186</v>
      </c>
      <c r="J18" s="358"/>
      <c r="K18" s="471"/>
      <c r="L18" s="358"/>
    </row>
    <row r="19" spans="1:12">
      <c r="A19" s="471"/>
      <c r="B19" s="358"/>
      <c r="C19" s="873"/>
      <c r="D19" s="358"/>
      <c r="F19" s="867"/>
      <c r="G19" s="621" t="str">
        <f>IF(H19=0,"",Nutzung!C20)</f>
        <v/>
      </c>
      <c r="H19" s="599">
        <f>Nutzung!F20</f>
        <v>0</v>
      </c>
      <c r="I19" s="292" t="s">
        <v>186</v>
      </c>
      <c r="J19" s="358"/>
      <c r="K19" s="471"/>
      <c r="L19" s="358"/>
    </row>
    <row r="20" spans="1:12">
      <c r="A20" s="471"/>
      <c r="B20" s="358"/>
      <c r="C20" s="73" t="s">
        <v>1788</v>
      </c>
      <c r="D20" s="358"/>
      <c r="E20" s="484"/>
      <c r="F20" s="358"/>
      <c r="G20" s="358"/>
      <c r="H20" s="485"/>
      <c r="I20" s="358"/>
      <c r="J20" s="358"/>
      <c r="K20" s="471"/>
    </row>
    <row r="21" spans="1:12">
      <c r="A21" s="471"/>
      <c r="B21" s="358"/>
      <c r="C21" s="481"/>
      <c r="D21" s="593" t="s">
        <v>187</v>
      </c>
      <c r="E21" s="484"/>
      <c r="F21" s="358"/>
      <c r="G21" s="358"/>
      <c r="H21" s="485"/>
      <c r="I21" s="358"/>
      <c r="J21" s="358"/>
      <c r="K21" s="471"/>
    </row>
    <row r="22" spans="1:12">
      <c r="A22" s="471"/>
      <c r="B22" s="358"/>
      <c r="C22" s="594" t="s">
        <v>1673</v>
      </c>
      <c r="D22" s="233" t="s">
        <v>188</v>
      </c>
      <c r="E22" s="486"/>
      <c r="F22" s="487"/>
      <c r="G22" s="487"/>
      <c r="H22" s="488">
        <v>0.30520000000000003</v>
      </c>
      <c r="I22" s="358"/>
      <c r="J22" s="358"/>
      <c r="K22" s="471"/>
    </row>
    <row r="23" spans="1:12">
      <c r="A23" s="471"/>
      <c r="B23" s="358"/>
      <c r="C23" s="218" t="s">
        <v>1674</v>
      </c>
      <c r="D23" s="233" t="s">
        <v>189</v>
      </c>
      <c r="E23" s="486"/>
      <c r="F23" s="487"/>
      <c r="G23" s="487"/>
      <c r="H23" s="489">
        <v>0</v>
      </c>
      <c r="I23" s="358"/>
      <c r="J23" s="358"/>
      <c r="K23" s="471"/>
    </row>
    <row r="24" spans="1:12">
      <c r="A24" s="471"/>
      <c r="B24" s="358"/>
      <c r="C24" s="595" t="s">
        <v>1675</v>
      </c>
      <c r="D24" s="233" t="s">
        <v>190</v>
      </c>
      <c r="E24" s="486"/>
      <c r="F24" s="487"/>
      <c r="G24" s="487"/>
      <c r="H24" s="491">
        <v>0</v>
      </c>
      <c r="I24" s="358"/>
      <c r="J24" s="358"/>
      <c r="K24" s="471"/>
    </row>
    <row r="25" spans="1:12">
      <c r="A25" s="471"/>
      <c r="B25" s="358"/>
      <c r="C25" s="490" t="s">
        <v>201</v>
      </c>
      <c r="D25" s="233" t="s">
        <v>202</v>
      </c>
      <c r="E25" s="486"/>
      <c r="F25" s="487"/>
      <c r="G25" s="487"/>
      <c r="H25" s="491">
        <v>0</v>
      </c>
      <c r="I25" s="358"/>
      <c r="J25" s="358"/>
      <c r="K25" s="471"/>
    </row>
    <row r="26" spans="1:12">
      <c r="A26" s="471"/>
      <c r="B26" s="358"/>
      <c r="C26" s="595" t="s">
        <v>1676</v>
      </c>
      <c r="D26" s="233" t="s">
        <v>192</v>
      </c>
      <c r="E26" s="486"/>
      <c r="F26" s="487"/>
      <c r="G26" s="487"/>
      <c r="H26" s="491">
        <v>0</v>
      </c>
      <c r="I26" s="358"/>
      <c r="J26" s="358"/>
      <c r="K26" s="471"/>
    </row>
    <row r="27" spans="1:12">
      <c r="A27" s="471"/>
      <c r="B27" s="358"/>
      <c r="C27" s="490" t="s">
        <v>203</v>
      </c>
      <c r="D27" s="233" t="s">
        <v>204</v>
      </c>
      <c r="E27" s="486"/>
      <c r="F27" s="487"/>
      <c r="G27" s="487"/>
      <c r="H27" s="491">
        <v>0</v>
      </c>
      <c r="I27" s="358"/>
      <c r="J27" s="358"/>
      <c r="K27" s="471"/>
    </row>
    <row r="28" spans="1:12">
      <c r="A28" s="471"/>
      <c r="B28" s="358"/>
      <c r="C28" s="595" t="s">
        <v>1677</v>
      </c>
      <c r="D28" s="233" t="s">
        <v>193</v>
      </c>
      <c r="E28" s="486"/>
      <c r="F28" s="487"/>
      <c r="G28" s="487"/>
      <c r="H28" s="491">
        <v>0</v>
      </c>
      <c r="I28" s="358"/>
      <c r="J28" s="358"/>
      <c r="K28" s="471"/>
    </row>
    <row r="29" spans="1:12">
      <c r="A29" s="471"/>
      <c r="B29" s="358"/>
      <c r="C29" s="490" t="s">
        <v>205</v>
      </c>
      <c r="D29" s="233" t="s">
        <v>206</v>
      </c>
      <c r="E29" s="486"/>
      <c r="F29" s="487"/>
      <c r="G29" s="487"/>
      <c r="H29" s="491">
        <v>0</v>
      </c>
      <c r="I29" s="358"/>
      <c r="J29" s="358"/>
      <c r="K29" s="471"/>
    </row>
    <row r="30" spans="1:12">
      <c r="A30" s="471"/>
      <c r="B30" s="358"/>
      <c r="C30" s="595" t="s">
        <v>1678</v>
      </c>
      <c r="D30" s="233" t="s">
        <v>194</v>
      </c>
      <c r="E30" s="486"/>
      <c r="F30" s="487"/>
      <c r="G30" s="487"/>
      <c r="H30" s="491">
        <v>0</v>
      </c>
      <c r="I30" s="358"/>
      <c r="J30" s="358"/>
      <c r="K30" s="471"/>
    </row>
    <row r="31" spans="1:12">
      <c r="A31" s="471"/>
      <c r="B31" s="358"/>
      <c r="C31" s="490" t="s">
        <v>207</v>
      </c>
      <c r="D31" s="233" t="s">
        <v>208</v>
      </c>
      <c r="E31" s="486"/>
      <c r="F31" s="487"/>
      <c r="G31" s="487"/>
      <c r="H31" s="491">
        <v>0</v>
      </c>
      <c r="I31" s="358"/>
      <c r="J31" s="358"/>
      <c r="K31" s="471"/>
    </row>
    <row r="32" spans="1:12">
      <c r="A32" s="471"/>
      <c r="B32" s="358"/>
      <c r="C32" s="872" t="s">
        <v>1679</v>
      </c>
      <c r="D32" s="233" t="s">
        <v>195</v>
      </c>
      <c r="E32" s="486"/>
      <c r="F32" s="487"/>
      <c r="G32" s="487"/>
      <c r="H32" s="491">
        <v>0</v>
      </c>
      <c r="I32" s="358"/>
      <c r="J32" s="358"/>
      <c r="K32" s="471"/>
    </row>
    <row r="33" spans="1:11">
      <c r="A33" s="471"/>
      <c r="B33" s="358"/>
      <c r="C33" s="490" t="s">
        <v>209</v>
      </c>
      <c r="D33" s="233" t="s">
        <v>210</v>
      </c>
      <c r="E33" s="486"/>
      <c r="F33" s="487"/>
      <c r="G33" s="487"/>
      <c r="H33" s="491">
        <v>0</v>
      </c>
      <c r="I33" s="358"/>
      <c r="J33" s="358"/>
      <c r="K33" s="471"/>
    </row>
    <row r="34" spans="1:11">
      <c r="A34" s="471"/>
      <c r="B34" s="358"/>
      <c r="C34" s="595" t="s">
        <v>1680</v>
      </c>
      <c r="D34" s="233" t="s">
        <v>196</v>
      </c>
      <c r="E34" s="486"/>
      <c r="F34" s="487"/>
      <c r="G34" s="487"/>
      <c r="H34" s="491">
        <v>0</v>
      </c>
      <c r="I34" s="358"/>
      <c r="J34" s="358"/>
      <c r="K34" s="471"/>
    </row>
    <row r="35" spans="1:11">
      <c r="A35" s="471"/>
      <c r="B35" s="358"/>
      <c r="C35" s="490" t="s">
        <v>211</v>
      </c>
      <c r="D35" s="233" t="s">
        <v>212</v>
      </c>
      <c r="E35" s="486"/>
      <c r="F35" s="487"/>
      <c r="G35" s="487"/>
      <c r="H35" s="491">
        <v>0</v>
      </c>
      <c r="I35" s="358"/>
      <c r="J35" s="358"/>
      <c r="K35" s="471"/>
    </row>
    <row r="36" spans="1:11">
      <c r="A36" s="471"/>
      <c r="B36" s="358"/>
      <c r="C36" s="595" t="s">
        <v>1681</v>
      </c>
      <c r="D36" s="233" t="s">
        <v>198</v>
      </c>
      <c r="E36" s="486"/>
      <c r="F36" s="487"/>
      <c r="G36" s="487"/>
      <c r="H36" s="491">
        <v>0</v>
      </c>
      <c r="I36" s="358"/>
      <c r="J36" s="358"/>
      <c r="K36" s="471"/>
    </row>
    <row r="37" spans="1:11">
      <c r="A37" s="471"/>
      <c r="B37" s="358"/>
      <c r="C37" s="490" t="s">
        <v>213</v>
      </c>
      <c r="D37" s="233" t="s">
        <v>214</v>
      </c>
      <c r="E37" s="486"/>
      <c r="F37" s="487"/>
      <c r="G37" s="487"/>
      <c r="H37" s="491">
        <v>0</v>
      </c>
      <c r="I37" s="358"/>
      <c r="J37" s="358"/>
      <c r="K37" s="471"/>
    </row>
    <row r="38" spans="1:11">
      <c r="A38" s="471"/>
      <c r="B38" s="358"/>
      <c r="C38" s="595" t="s">
        <v>1682</v>
      </c>
      <c r="D38" s="233" t="s">
        <v>199</v>
      </c>
      <c r="E38" s="486"/>
      <c r="F38" s="487"/>
      <c r="G38" s="487"/>
      <c r="H38" s="491">
        <v>0</v>
      </c>
      <c r="I38" s="358"/>
      <c r="J38" s="358"/>
      <c r="K38" s="471"/>
    </row>
    <row r="39" spans="1:11">
      <c r="A39" s="471"/>
      <c r="B39" s="358"/>
      <c r="C39" s="490" t="s">
        <v>215</v>
      </c>
      <c r="D39" s="233" t="s">
        <v>216</v>
      </c>
      <c r="E39" s="486"/>
      <c r="F39" s="487"/>
      <c r="G39" s="487"/>
      <c r="H39" s="491">
        <v>0</v>
      </c>
      <c r="I39" s="358"/>
      <c r="J39" s="358"/>
      <c r="K39" s="471"/>
    </row>
    <row r="40" spans="1:11">
      <c r="A40" s="471"/>
      <c r="B40" s="358"/>
      <c r="C40" s="595" t="s">
        <v>1683</v>
      </c>
      <c r="D40" s="233" t="s">
        <v>200</v>
      </c>
      <c r="E40" s="486"/>
      <c r="F40" s="487"/>
      <c r="G40" s="487"/>
      <c r="H40" s="491">
        <v>0</v>
      </c>
      <c r="I40" s="358"/>
      <c r="J40" s="358"/>
      <c r="K40" s="471"/>
    </row>
    <row r="41" spans="1:11">
      <c r="A41" s="471"/>
      <c r="B41" s="358"/>
      <c r="C41" s="490" t="s">
        <v>217</v>
      </c>
      <c r="D41" s="233" t="s">
        <v>218</v>
      </c>
      <c r="E41" s="486"/>
      <c r="F41" s="487"/>
      <c r="G41" s="487"/>
      <c r="H41" s="491">
        <v>0</v>
      </c>
      <c r="I41" s="358"/>
      <c r="J41" s="358"/>
      <c r="K41" s="471"/>
    </row>
    <row r="42" spans="1:11">
      <c r="A42" s="471"/>
      <c r="B42" s="358"/>
      <c r="C42" s="492" t="s">
        <v>128</v>
      </c>
      <c r="D42" s="233" t="e">
        <f>VLOOKUP(C42,Emissionsfaktoren_Prozesse!$D$4:$E$103,2,FALSE)</f>
        <v>#N/A</v>
      </c>
      <c r="E42" s="486"/>
      <c r="F42" s="487"/>
      <c r="G42" s="487"/>
      <c r="H42" s="491">
        <v>0</v>
      </c>
      <c r="I42" s="358"/>
      <c r="J42" s="358"/>
      <c r="K42" s="471"/>
    </row>
    <row r="43" spans="1:11">
      <c r="A43" s="471"/>
      <c r="B43" s="358"/>
      <c r="C43" s="492" t="s">
        <v>128</v>
      </c>
      <c r="D43" s="233" t="e">
        <f>VLOOKUP(C43,Emissionsfaktoren_Prozesse!$D$4:$E$103,2,FALSE)</f>
        <v>#N/A</v>
      </c>
      <c r="E43" s="486"/>
      <c r="F43" s="487"/>
      <c r="G43" s="487"/>
      <c r="H43" s="491">
        <v>0</v>
      </c>
      <c r="I43" s="358"/>
      <c r="J43" s="358"/>
      <c r="K43" s="471"/>
    </row>
    <row r="44" spans="1:11">
      <c r="A44" s="471"/>
      <c r="B44" s="358"/>
      <c r="C44" s="492" t="s">
        <v>128</v>
      </c>
      <c r="D44" s="233" t="e">
        <f>VLOOKUP(C44,Emissionsfaktoren_Prozesse!$D$4:$E$103,2,FALSE)</f>
        <v>#N/A</v>
      </c>
      <c r="E44" s="486"/>
      <c r="F44" s="487"/>
      <c r="G44" s="487"/>
      <c r="H44" s="491">
        <v>0</v>
      </c>
      <c r="I44" s="358"/>
      <c r="J44" s="358"/>
      <c r="K44" s="471"/>
    </row>
    <row r="45" spans="1:11" ht="15" thickBot="1">
      <c r="A45" s="471"/>
      <c r="B45" s="358"/>
      <c r="C45" s="493"/>
      <c r="D45" s="494"/>
      <c r="E45" s="494"/>
      <c r="F45" s="494"/>
      <c r="G45" s="494"/>
      <c r="H45" s="495"/>
      <c r="I45" s="358"/>
      <c r="J45" s="358"/>
      <c r="K45" s="471"/>
    </row>
    <row r="46" spans="1:11" ht="30" customHeight="1" thickBot="1">
      <c r="A46" s="471"/>
      <c r="B46" s="358"/>
      <c r="C46" s="296" t="s">
        <v>1690</v>
      </c>
      <c r="D46" s="358"/>
      <c r="E46" s="358"/>
      <c r="F46" s="358"/>
      <c r="G46" s="358"/>
      <c r="H46" s="358"/>
      <c r="I46" s="358"/>
      <c r="J46" s="358"/>
      <c r="K46" s="471"/>
    </row>
    <row r="47" spans="1:11">
      <c r="A47" s="471"/>
      <c r="B47" s="358"/>
      <c r="C47" s="295"/>
      <c r="D47" s="479"/>
      <c r="E47" s="479"/>
      <c r="F47" s="479"/>
      <c r="G47" s="293" t="s">
        <v>1914</v>
      </c>
      <c r="H47" s="299">
        <f>SUM(H51,H53,H55,H57,H59)</f>
        <v>0</v>
      </c>
      <c r="I47" s="292" t="s">
        <v>175</v>
      </c>
      <c r="J47" s="358"/>
      <c r="K47" s="471"/>
    </row>
    <row r="48" spans="1:11">
      <c r="A48" s="471"/>
      <c r="B48" s="358"/>
      <c r="C48" s="297"/>
      <c r="D48" s="358"/>
      <c r="E48" s="358"/>
      <c r="F48" s="358"/>
      <c r="G48" s="298" t="s">
        <v>219</v>
      </c>
      <c r="H48" s="300">
        <f>IFERROR(H47/Nutzung!C8,0)</f>
        <v>0</v>
      </c>
      <c r="I48" s="292" t="s">
        <v>175</v>
      </c>
      <c r="J48" s="358"/>
      <c r="K48" s="471"/>
    </row>
    <row r="49" spans="1:11">
      <c r="A49" s="471"/>
      <c r="B49" s="358"/>
      <c r="C49" s="481"/>
      <c r="D49" s="358"/>
      <c r="E49" s="358"/>
      <c r="F49" s="358"/>
      <c r="G49" s="358"/>
      <c r="H49" s="121"/>
      <c r="I49" s="358"/>
      <c r="J49" s="358"/>
      <c r="K49" s="471"/>
    </row>
    <row r="50" spans="1:11" ht="42.5" customHeight="1">
      <c r="A50" s="471"/>
      <c r="B50" s="358"/>
      <c r="C50" s="972" t="s">
        <v>220</v>
      </c>
      <c r="D50" s="404" t="s">
        <v>221</v>
      </c>
      <c r="E50" s="358"/>
      <c r="F50" s="1009" t="s">
        <v>1915</v>
      </c>
      <c r="G50" s="358"/>
      <c r="H50" s="122" t="s">
        <v>1916</v>
      </c>
      <c r="I50" s="358"/>
      <c r="J50" s="358"/>
      <c r="K50" s="471"/>
    </row>
    <row r="51" spans="1:11">
      <c r="A51" s="471"/>
      <c r="B51" s="358"/>
      <c r="C51" s="496"/>
      <c r="D51" s="497">
        <v>0</v>
      </c>
      <c r="E51" s="358"/>
      <c r="F51" s="475"/>
      <c r="G51" s="358"/>
      <c r="H51" s="622">
        <f>F51*D51</f>
        <v>0</v>
      </c>
      <c r="I51" s="292" t="s">
        <v>175</v>
      </c>
      <c r="J51" s="358"/>
      <c r="K51" s="471"/>
    </row>
    <row r="52" spans="1:11">
      <c r="A52" s="471"/>
      <c r="B52" s="358"/>
      <c r="C52" s="481"/>
      <c r="D52" s="358"/>
      <c r="E52" s="358"/>
      <c r="F52" s="358"/>
      <c r="G52" s="358"/>
      <c r="H52" s="121"/>
      <c r="I52" s="358"/>
      <c r="J52" s="358"/>
      <c r="K52" s="471"/>
    </row>
    <row r="53" spans="1:11">
      <c r="A53" s="471"/>
      <c r="B53" s="358"/>
      <c r="C53" s="498"/>
      <c r="D53" s="497">
        <v>0</v>
      </c>
      <c r="E53" s="358"/>
      <c r="F53" s="475"/>
      <c r="G53" s="358"/>
      <c r="H53" s="622">
        <f>F53*D53</f>
        <v>0</v>
      </c>
      <c r="I53" s="292" t="s">
        <v>175</v>
      </c>
      <c r="J53" s="358"/>
      <c r="K53" s="471"/>
    </row>
    <row r="54" spans="1:11">
      <c r="A54" s="471"/>
      <c r="B54" s="358"/>
      <c r="C54" s="481"/>
      <c r="D54" s="358"/>
      <c r="E54" s="358"/>
      <c r="F54" s="358"/>
      <c r="G54" s="358"/>
      <c r="H54" s="121"/>
      <c r="I54" s="358"/>
      <c r="J54" s="358"/>
      <c r="K54" s="471"/>
    </row>
    <row r="55" spans="1:11">
      <c r="A55" s="471"/>
      <c r="B55" s="358"/>
      <c r="C55" s="498"/>
      <c r="D55" s="497">
        <v>0</v>
      </c>
      <c r="E55" s="358"/>
      <c r="F55" s="475"/>
      <c r="G55" s="358"/>
      <c r="H55" s="622">
        <f>F55*D55</f>
        <v>0</v>
      </c>
      <c r="I55" s="292" t="s">
        <v>175</v>
      </c>
      <c r="J55" s="358"/>
      <c r="K55" s="471"/>
    </row>
    <row r="56" spans="1:11">
      <c r="A56" s="471"/>
      <c r="B56" s="358"/>
      <c r="C56" s="481"/>
      <c r="D56" s="358"/>
      <c r="E56" s="358"/>
      <c r="F56" s="358"/>
      <c r="G56" s="358"/>
      <c r="H56" s="121"/>
      <c r="I56" s="358"/>
      <c r="J56" s="358"/>
      <c r="K56" s="471"/>
    </row>
    <row r="57" spans="1:11">
      <c r="A57" s="471"/>
      <c r="B57" s="358"/>
      <c r="C57" s="498"/>
      <c r="D57" s="497">
        <v>0</v>
      </c>
      <c r="E57" s="358"/>
      <c r="F57" s="475"/>
      <c r="G57" s="358"/>
      <c r="H57" s="622">
        <f>F57*D57</f>
        <v>0</v>
      </c>
      <c r="I57" s="292" t="s">
        <v>175</v>
      </c>
      <c r="J57" s="358"/>
      <c r="K57" s="471"/>
    </row>
    <row r="58" spans="1:11">
      <c r="A58" s="471"/>
      <c r="B58" s="358"/>
      <c r="C58" s="481"/>
      <c r="D58" s="358"/>
      <c r="E58" s="358"/>
      <c r="F58" s="358"/>
      <c r="G58" s="358"/>
      <c r="H58" s="121"/>
      <c r="I58" s="358"/>
      <c r="J58" s="358"/>
      <c r="K58" s="471"/>
    </row>
    <row r="59" spans="1:11">
      <c r="A59" s="471"/>
      <c r="B59" s="358"/>
      <c r="C59" s="498"/>
      <c r="D59" s="497">
        <v>0</v>
      </c>
      <c r="E59" s="358"/>
      <c r="F59" s="475"/>
      <c r="G59" s="358"/>
      <c r="H59" s="622">
        <f>F59*D59</f>
        <v>0</v>
      </c>
      <c r="I59" s="292" t="s">
        <v>175</v>
      </c>
      <c r="J59" s="358"/>
      <c r="K59" s="471"/>
    </row>
    <row r="60" spans="1:11" ht="15" thickBot="1">
      <c r="A60" s="471"/>
      <c r="B60" s="358"/>
      <c r="C60" s="493"/>
      <c r="D60" s="494"/>
      <c r="E60" s="494"/>
      <c r="F60" s="494"/>
      <c r="G60" s="494"/>
      <c r="H60" s="123"/>
      <c r="I60" s="358"/>
      <c r="J60" s="358"/>
      <c r="K60" s="471"/>
    </row>
    <row r="61" spans="1:11" ht="30" customHeight="1" thickBot="1">
      <c r="A61" s="471"/>
      <c r="B61" s="358"/>
      <c r="C61" s="296" t="s">
        <v>1691</v>
      </c>
      <c r="D61" s="483"/>
      <c r="E61" s="483"/>
      <c r="F61" s="483"/>
      <c r="G61" s="358"/>
      <c r="H61" s="62"/>
      <c r="I61" s="358"/>
      <c r="J61" s="358"/>
      <c r="K61" s="471"/>
    </row>
    <row r="62" spans="1:11">
      <c r="A62" s="471"/>
      <c r="B62" s="358"/>
      <c r="C62" s="295"/>
      <c r="D62" s="479"/>
      <c r="E62" s="479"/>
      <c r="F62" s="479"/>
      <c r="G62" s="293" t="s">
        <v>1917</v>
      </c>
      <c r="H62" s="299">
        <f>SUM(H66,H68,H70,H72,H74)</f>
        <v>512.09999999999991</v>
      </c>
      <c r="I62" s="292" t="s">
        <v>175</v>
      </c>
      <c r="J62" s="358"/>
      <c r="K62" s="471"/>
    </row>
    <row r="63" spans="1:11">
      <c r="A63" s="471"/>
      <c r="B63" s="358"/>
      <c r="C63" s="297"/>
      <c r="D63" s="358"/>
      <c r="E63" s="358"/>
      <c r="F63" s="358"/>
      <c r="G63" s="298" t="s">
        <v>222</v>
      </c>
      <c r="H63" s="300">
        <f>IFERROR(H62/Nutzung!C8,0)</f>
        <v>51.209999999999994</v>
      </c>
      <c r="I63" s="292" t="s">
        <v>175</v>
      </c>
      <c r="J63" s="358"/>
      <c r="K63" s="471"/>
    </row>
    <row r="64" spans="1:11">
      <c r="A64" s="471"/>
      <c r="B64" s="358"/>
      <c r="C64" s="481"/>
      <c r="D64" s="358"/>
      <c r="E64" s="358"/>
      <c r="F64" s="358"/>
      <c r="G64" s="358"/>
      <c r="H64" s="121"/>
      <c r="I64" s="358"/>
      <c r="J64" s="358"/>
      <c r="K64" s="471"/>
    </row>
    <row r="65" spans="1:11" ht="42.5" customHeight="1">
      <c r="A65" s="471"/>
      <c r="B65" s="358"/>
      <c r="C65" s="481" t="s">
        <v>223</v>
      </c>
      <c r="D65" s="404" t="s">
        <v>221</v>
      </c>
      <c r="E65" s="358"/>
      <c r="F65" s="1009" t="s">
        <v>1915</v>
      </c>
      <c r="G65" s="358"/>
      <c r="H65" s="122" t="s">
        <v>1916</v>
      </c>
      <c r="I65" s="358"/>
      <c r="J65" s="358"/>
      <c r="K65" s="471"/>
    </row>
    <row r="66" spans="1:11" ht="43.5">
      <c r="A66" s="471"/>
      <c r="B66" s="358"/>
      <c r="C66" s="1015" t="s">
        <v>1933</v>
      </c>
      <c r="D66" s="497">
        <f>94.6+76.1</f>
        <v>170.7</v>
      </c>
      <c r="E66" s="358"/>
      <c r="F66" s="475">
        <v>3</v>
      </c>
      <c r="G66" s="358"/>
      <c r="H66" s="622">
        <f>F66*D66</f>
        <v>512.09999999999991</v>
      </c>
      <c r="I66" s="292" t="s">
        <v>175</v>
      </c>
      <c r="J66" s="358"/>
      <c r="K66" s="471"/>
    </row>
    <row r="67" spans="1:11">
      <c r="A67" s="471"/>
      <c r="B67" s="358"/>
      <c r="C67" s="481"/>
      <c r="D67" s="358"/>
      <c r="E67" s="358"/>
      <c r="F67" s="358"/>
      <c r="G67" s="358"/>
      <c r="H67" s="121"/>
      <c r="I67" s="358"/>
      <c r="J67" s="358"/>
      <c r="K67" s="471"/>
    </row>
    <row r="68" spans="1:11">
      <c r="A68" s="471"/>
      <c r="B68" s="358"/>
      <c r="C68" s="498"/>
      <c r="D68" s="497">
        <v>0</v>
      </c>
      <c r="E68" s="358"/>
      <c r="F68" s="475"/>
      <c r="G68" s="358"/>
      <c r="H68" s="622">
        <f>F68*D68</f>
        <v>0</v>
      </c>
      <c r="I68" s="292" t="s">
        <v>175</v>
      </c>
      <c r="J68" s="358"/>
      <c r="K68" s="471"/>
    </row>
    <row r="69" spans="1:11">
      <c r="A69" s="471"/>
      <c r="B69" s="358"/>
      <c r="C69" s="481"/>
      <c r="D69" s="358"/>
      <c r="E69" s="358"/>
      <c r="F69" s="358"/>
      <c r="G69" s="358"/>
      <c r="H69" s="121"/>
      <c r="I69" s="358"/>
      <c r="J69" s="358"/>
      <c r="K69" s="471"/>
    </row>
    <row r="70" spans="1:11">
      <c r="A70" s="471"/>
      <c r="B70" s="358"/>
      <c r="C70" s="498"/>
      <c r="D70" s="497">
        <v>0</v>
      </c>
      <c r="E70" s="358"/>
      <c r="F70" s="475"/>
      <c r="G70" s="358"/>
      <c r="H70" s="622">
        <f>F70*D70</f>
        <v>0</v>
      </c>
      <c r="I70" s="292" t="s">
        <v>175</v>
      </c>
      <c r="J70" s="358"/>
      <c r="K70" s="471"/>
    </row>
    <row r="71" spans="1:11">
      <c r="A71" s="471"/>
      <c r="B71" s="358"/>
      <c r="C71" s="481"/>
      <c r="D71" s="358"/>
      <c r="E71" s="358"/>
      <c r="F71" s="358"/>
      <c r="G71" s="358"/>
      <c r="H71" s="121"/>
      <c r="I71" s="358"/>
      <c r="J71" s="358"/>
      <c r="K71" s="471"/>
    </row>
    <row r="72" spans="1:11">
      <c r="A72" s="471"/>
      <c r="B72" s="358"/>
      <c r="C72" s="498"/>
      <c r="D72" s="497">
        <v>0</v>
      </c>
      <c r="E72" s="358"/>
      <c r="F72" s="475"/>
      <c r="G72" s="358"/>
      <c r="H72" s="622">
        <f>F72*D72</f>
        <v>0</v>
      </c>
      <c r="I72" s="292" t="s">
        <v>175</v>
      </c>
      <c r="J72" s="358"/>
      <c r="K72" s="471"/>
    </row>
    <row r="73" spans="1:11">
      <c r="A73" s="471"/>
      <c r="B73" s="358"/>
      <c r="C73" s="481"/>
      <c r="D73" s="358"/>
      <c r="E73" s="358"/>
      <c r="F73" s="358"/>
      <c r="G73" s="358"/>
      <c r="H73" s="121"/>
      <c r="I73" s="358"/>
      <c r="J73" s="358"/>
      <c r="K73" s="471"/>
    </row>
    <row r="74" spans="1:11">
      <c r="A74" s="471"/>
      <c r="B74" s="358"/>
      <c r="C74" s="498"/>
      <c r="D74" s="497">
        <v>0</v>
      </c>
      <c r="E74" s="358"/>
      <c r="F74" s="475"/>
      <c r="G74" s="358"/>
      <c r="H74" s="622">
        <f>F74*D74</f>
        <v>0</v>
      </c>
      <c r="I74" s="292" t="s">
        <v>175</v>
      </c>
      <c r="J74" s="358"/>
      <c r="K74" s="471"/>
    </row>
    <row r="75" spans="1:11" ht="15" thickBot="1">
      <c r="A75" s="471"/>
      <c r="B75" s="358"/>
      <c r="C75" s="493"/>
      <c r="D75" s="494"/>
      <c r="E75" s="494"/>
      <c r="F75" s="494"/>
      <c r="G75" s="494"/>
      <c r="H75" s="123"/>
      <c r="I75" s="358"/>
      <c r="J75" s="358"/>
      <c r="K75" s="471"/>
    </row>
    <row r="76" spans="1:11">
      <c r="A76" s="471"/>
      <c r="B76" s="358"/>
      <c r="C76" s="358"/>
      <c r="D76" s="358"/>
      <c r="E76" s="358"/>
      <c r="F76" s="358"/>
      <c r="G76" s="358"/>
      <c r="H76" s="358"/>
      <c r="I76" s="358"/>
      <c r="J76" s="358"/>
      <c r="K76" s="471"/>
    </row>
    <row r="77" spans="1:11">
      <c r="A77" s="471"/>
      <c r="B77" s="471"/>
      <c r="C77" s="471"/>
      <c r="D77" s="471"/>
      <c r="E77" s="471"/>
      <c r="F77" s="471"/>
      <c r="G77" s="471"/>
      <c r="H77" s="471"/>
      <c r="I77" s="471"/>
      <c r="J77" s="471"/>
      <c r="K77" s="471"/>
    </row>
  </sheetData>
  <hyperlinks>
    <hyperlink ref="L3" location="'Aufbau LCC-CO2-Tool'!A1" display="zurück zur Übersicht" xr:uid="{E3BBA789-B438-4FC2-B600-6139D2828558}"/>
    <hyperlink ref="L4" location="'Anleitung für Beschaffende'!A16" display="zurück zur Anleitung für Beschaffende " xr:uid="{5DD674E3-37DA-4A31-BC7B-41FE353C5E38}"/>
    <hyperlink ref="L5" location="'Anleitung für Bietende'!A12" display="zurück zur Anleitung für Bietende" xr:uid="{8EA8ACC9-3D03-4C9F-8B8E-C7A7867045F9}"/>
  </hyperlinks>
  <pageMargins left="0.70866141732283472" right="0.70866141732283472" top="0.78740157480314965" bottom="0.78740157480314965" header="0.31496062992125984" footer="0.31496062992125984"/>
  <pageSetup paperSize="9" scale="59" orientation="portrait" r:id="rId1"/>
  <headerFooter>
    <oddHeader>&amp;C&amp;14&amp;KFF0000TESTVERSION!</oddHeader>
    <oddFooter>&amp;L&amp;8&amp;K000000LCC-CO2-Tool - Arbeitshilfe des Umweltbundesamtes&amp;C&amp;8Berechnung der laufenden Kosten&amp;R&amp;8&amp;P</oddFooter>
  </headerFooter>
  <ignoredErrors>
    <ignoredError sqref="D42:D44" evalError="1"/>
    <ignoredError sqref="D66" unlockedFormula="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BF562981-8EE1-4026-A5C3-3CECD11663A0}">
          <x14:formula1>
            <xm:f>Emissionsfaktoren_Prozesse!$D$3:$D$103</xm:f>
          </x14:formula1>
          <xm:sqref>C42:C44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no' ?><Relationships xmlns="http://schemas.openxmlformats.org/package/2006/relationships"><Relationship Id="rId1" Type="http://schemas.openxmlformats.org/officeDocument/2006/relationships/customXmlProps" Target="itemProps4.xml" /></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6D1970B24A506C4DA5D4D90903144628" ma:contentTypeVersion="9" ma:contentTypeDescription="Ein neues Dokument erstellen." ma:contentTypeScope="" ma:versionID="35f35e89580563c733f33e4c0070c1b6">
  <xsd:schema xmlns:xsd="http://www.w3.org/2001/XMLSchema" xmlns:xs="http://www.w3.org/2001/XMLSchema" xmlns:p="http://schemas.microsoft.com/office/2006/metadata/properties" xmlns:ns2="a6bdc560-5789-497d-9653-e28721e9346e" xmlns:ns3="dff3f651-13f3-40a9-9001-49bfb28c33b0" targetNamespace="http://schemas.microsoft.com/office/2006/metadata/properties" ma:root="true" ma:fieldsID="50b3f65a76a862fc3f6b8173a8417ea4" ns2:_="" ns3:_="">
    <xsd:import namespace="a6bdc560-5789-497d-9653-e28721e9346e"/>
    <xsd:import namespace="dff3f651-13f3-40a9-9001-49bfb28c33b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bdc560-5789-497d-9653-e28721e934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f3f651-13f3-40a9-9001-49bfb28c33b0"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f:fields xmlns:f="http://schemas.fabasoft.com/folio/2007/fields" catsources="">
  <f:record>
    <f:field ref="BDBCFG_15_1700_FieldBDBSignatures" text="Bearbeitet - Litschko, Benjamin - Mitarbeiter*in III 1.3 (Fachgebiet III 1.3 - Ökodesign, Umweltkennzeichnung, umweltfreundliche Beschaffung) -  - 03.06.2025&#13;&#10;Mitgezeichnet - Schmidt, Holger - Mitarbeiter*in Z 2.4 (Sachgebiet Fachbibliothek Umwelt) -  - 06.06.2025&#13;&#10;Mitgezeichnet - Stallmann, Martin - Mitarbeiter*in PB 2 (Referat Presse- und Öffentlichkeitsarbeit, Internet) - Layout freigegeben - 10.06.2025&#13;&#10;Information erhalten - Stechemesser, Kristin - Mitarbeiter*in III 1.3 (Fachgebiet III 1.3 - Ökodesign, Umweltkennzeichnung, umweltfreundliche Beschaffung) -  - 11.06.2025&#13;&#10;Mitgezeichnet - Wurbs, Johanna - Leitung III 1.3 (Fachgebiet III 1.3 - Ökodesign, Umweltkennzeichnung, umweltfreundliche Beschaffung) -  - 11.06.2025&#13;&#10;Mitgezeichnet - Janz, Alexander - Leitung III 1 (Abteilung III 1 - Nachhaltige Produkte und nachhaltiger Konsum, Kreislaufwirtschaft) -  - 12.06.2025&#13;&#10;Mitgezeichnet - Rechenberg, Bettina - Leitung FB III (Fachbereich Nachhaltige Produktion und Produkte, Kreislaufwirtschaft) -  - 12.06.2025&#13;&#10;Mitgezeichnet - Ittershagen, Martin - Leitung PB 2 (Referat Presse- und Öffentlichkeitsarbeit, Internet) -  - 13.06.2025" multiline="true"/>
    <f:field ref="objname" text="Schulungsskript_LCC-CO2-Tool_v5_100-Desktop-PCs_3-Jahre" edit="true"/>
  </f:record>
  <f:display text="Allgemein">
    <f:field ref="BDBCFG_15_1700_FieldBDBSignatures" text="Zeichnungsleiste chronologisch Zeichnungen (Datum der Zeichnung)"/>
    <f:field ref="objname" text="Name"/>
  </f:display>
</f:fields>
</file>

<file path=customXml/itemProps1.xml><?xml version="1.0" encoding="utf-8"?>
<ds:datastoreItem xmlns:ds="http://schemas.openxmlformats.org/officeDocument/2006/customXml" ds:itemID="{134C193B-199B-488A-9C31-9D5839772C97}">
  <ds:schemaRefs>
    <ds:schemaRef ds:uri="http://schemas.microsoft.com/office/2006/metadata/properties"/>
    <ds:schemaRef ds:uri="a6bdc560-5789-497d-9653-e28721e9346e"/>
    <ds:schemaRef ds:uri="http://purl.org/dc/terms/"/>
    <ds:schemaRef ds:uri="http://www.w3.org/XML/1998/namespace"/>
    <ds:schemaRef ds:uri="http://purl.org/dc/dcmitype/"/>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dff3f651-13f3-40a9-9001-49bfb28c33b0"/>
  </ds:schemaRefs>
</ds:datastoreItem>
</file>

<file path=customXml/itemProps2.xml><?xml version="1.0" encoding="utf-8"?>
<ds:datastoreItem xmlns:ds="http://schemas.openxmlformats.org/officeDocument/2006/customXml" ds:itemID="{201F3FC3-C8F9-45ED-AF64-285D83DE6F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bdc560-5789-497d-9653-e28721e9346e"/>
    <ds:schemaRef ds:uri="dff3f651-13f3-40a9-9001-49bfb28c33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585ACA4-77E7-463C-9DFD-9F4885C98451}">
  <ds:schemaRefs>
    <ds:schemaRef ds:uri="http://schemas.microsoft.com/sharepoint/v3/contenttype/forms"/>
  </ds:schemaRefs>
</ds:datastoreItem>
</file>

<file path=customXml/itemProps4.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21</vt:i4>
      </vt:variant>
      <vt:variant>
        <vt:lpstr>Benannte Bereiche</vt:lpstr>
      </vt:variant>
      <vt:variant>
        <vt:i4>15</vt:i4>
      </vt:variant>
    </vt:vector>
  </HeadingPairs>
  <TitlesOfParts>
    <vt:vector size="36" baseType="lpstr">
      <vt:lpstr>Aufbau LCC-CO2-Tool</vt:lpstr>
      <vt:lpstr>Anleitung für Beschaffende</vt:lpstr>
      <vt:lpstr>Anleitung für Bietende</vt:lpstr>
      <vt:lpstr>alt_Anleitung für Bietende</vt:lpstr>
      <vt:lpstr>Punktevergabe Übersicht</vt:lpstr>
      <vt:lpstr>Punktevergabe Details</vt:lpstr>
      <vt:lpstr>Einmalkosten</vt:lpstr>
      <vt:lpstr>Transport+Installationskosten</vt:lpstr>
      <vt:lpstr>Laufende Kosten</vt:lpstr>
      <vt:lpstr>Investitionsrechnung</vt:lpstr>
      <vt:lpstr>THG-Emissionen mit Zertifikat</vt:lpstr>
      <vt:lpstr>THG-Emissionen ohne Zertifikat</vt:lpstr>
      <vt:lpstr>Ergebnis LCC ohne CO2-Kosten</vt:lpstr>
      <vt:lpstr>Ergebnis LCC inkl. CO2-Kosten</vt:lpstr>
      <vt:lpstr>Produktion</vt:lpstr>
      <vt:lpstr>Transport + Installation</vt:lpstr>
      <vt:lpstr>Nutzung</vt:lpstr>
      <vt:lpstr>Emissionsfaktoren_Stoffe</vt:lpstr>
      <vt:lpstr>Emissionsfaktoren_Prozesse</vt:lpstr>
      <vt:lpstr>Emissionsfaktoren_Lebenszyklus</vt:lpstr>
      <vt:lpstr>Impressum</vt:lpstr>
      <vt:lpstr>'alt_Anleitung für Bietende'!Druckbereich</vt:lpstr>
      <vt:lpstr>'Anleitung für Beschaffende'!Druckbereich</vt:lpstr>
      <vt:lpstr>'Anleitung für Bietende'!Druckbereich</vt:lpstr>
      <vt:lpstr>'Aufbau LCC-CO2-Tool'!Druckbereich</vt:lpstr>
      <vt:lpstr>Einmalkosten!Druckbereich</vt:lpstr>
      <vt:lpstr>'Ergebnis LCC inkl. CO2-Kosten'!Druckbereich</vt:lpstr>
      <vt:lpstr>'Ergebnis LCC ohne CO2-Kosten'!Druckbereich</vt:lpstr>
      <vt:lpstr>Impressum!Druckbereich</vt:lpstr>
      <vt:lpstr>Investitionsrechnung!Druckbereich</vt:lpstr>
      <vt:lpstr>'Laufende Kosten'!Druckbereich</vt:lpstr>
      <vt:lpstr>'Punktevergabe Details'!Druckbereich</vt:lpstr>
      <vt:lpstr>'Punktevergabe Übersicht'!Druckbereich</vt:lpstr>
      <vt:lpstr>'THG-Emissionen mit Zertifikat'!Druckbereich</vt:lpstr>
      <vt:lpstr>'THG-Emissionen ohne Zertifikat'!Druckbereich</vt:lpstr>
      <vt:lpstr>'Transport+Installationskosten'!Druckbereich</vt:lpstr>
    </vt:vector>
  </TitlesOfParts>
  <Manager/>
  <Company>Öko-Institut, im Auftrag des Umweltbundesamtes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K.Graulich@oeko.de;L.Gascon@oeko.de</dc:creator>
  <cp:keywords/>
  <dc:description/>
  <cp:lastModifiedBy>Kathrin Graulich</cp:lastModifiedBy>
  <cp:revision/>
  <cp:lastPrinted>2024-11-07T22:55:14Z</cp:lastPrinted>
  <dcterms:created xsi:type="dcterms:W3CDTF">2020-07-07T08:25:36Z</dcterms:created>
  <dcterms:modified xsi:type="dcterms:W3CDTF">2025-02-21T02:25:48Z</dcterms:modified>
  <cp:category/>
  <cp:contentStatus/>
</cp:coreProperties>
</file>

<file path=docProps/custom.xml><?xml version="1.0" encoding="utf-8"?>
<Properties xmlns="http://schemas.openxmlformats.org/officeDocument/2006/custom-properties" xmlns:vt="http://schemas.openxmlformats.org/officeDocument/2006/docPropsVTypes">
  <property name="ContentTypeId" pid="2" fmtid="{D5CDD505-2E9C-101B-9397-08002B2CF9AE}">
    <vt:lpwstr>0x0101006D1970B24A506C4DA5D4D90903144628</vt:lpwstr>
  </property>
  <property name="MSIP_Label_0cda0c22-3e77-43b9-8faf-0bad2baf7893_Enabled" pid="3" fmtid="{D5CDD505-2E9C-101B-9397-08002B2CF9AE}">
    <vt:lpwstr>true</vt:lpwstr>
  </property>
  <property name="MSIP_Label_0cda0c22-3e77-43b9-8faf-0bad2baf7893_SetDate" pid="4" fmtid="{D5CDD505-2E9C-101B-9397-08002B2CF9AE}">
    <vt:lpwstr>2021-10-05T06:22:50Z</vt:lpwstr>
  </property>
  <property name="MSIP_Label_0cda0c22-3e77-43b9-8faf-0bad2baf7893_Method" pid="5" fmtid="{D5CDD505-2E9C-101B-9397-08002B2CF9AE}">
    <vt:lpwstr>Standard</vt:lpwstr>
  </property>
  <property name="MSIP_Label_0cda0c22-3e77-43b9-8faf-0bad2baf7893_Name" pid="6" fmtid="{D5CDD505-2E9C-101B-9397-08002B2CF9AE}">
    <vt:lpwstr>TLP gelb</vt:lpwstr>
  </property>
  <property name="MSIP_Label_0cda0c22-3e77-43b9-8faf-0bad2baf7893_SiteId" pid="7" fmtid="{D5CDD505-2E9C-101B-9397-08002B2CF9AE}">
    <vt:lpwstr>085c0b65-6a84-4006-851e-5faa7ec5367e</vt:lpwstr>
  </property>
  <property name="MSIP_Label_0cda0c22-3e77-43b9-8faf-0bad2baf7893_ActionId" pid="8" fmtid="{D5CDD505-2E9C-101B-9397-08002B2CF9AE}">
    <vt:lpwstr>9c9eb3cd-de28-4668-a34c-c5ce6aaf3c72</vt:lpwstr>
  </property>
  <property name="MSIP_Label_0cda0c22-3e77-43b9-8faf-0bad2baf7893_ContentBits" pid="9" fmtid="{D5CDD505-2E9C-101B-9397-08002B2CF9AE}">
    <vt:lpwstr>2</vt:lpwstr>
  </property>
  <property name="MediaServiceImageTags" pid="10" fmtid="{D5CDD505-2E9C-101B-9397-08002B2CF9AE}">
    <vt:lpwstr/>
  </property>
  <property name="FSC#BDBCFG@15.1700:InchargeUser" pid="11" fmtid="{D5CDD505-2E9C-101B-9397-08002B2CF9AE}">
    <vt:lpwstr>Litschko, Benjamin</vt:lpwstr>
  </property>
  <property name="FSC#BDBCFG@15.1700:InchargeOrganisation" pid="12" fmtid="{D5CDD505-2E9C-101B-9397-08002B2CF9AE}">
    <vt:lpwstr>III 1.3 (Fachgebiet III 1.3 - Ökodesign, Umweltkennzeichnung, umweltfreundliche Beschaffung)</vt:lpwstr>
  </property>
  <property name="FSC#BDBCFG@15.1700:InchargePosition" pid="13" fmtid="{D5CDD505-2E9C-101B-9397-08002B2CF9AE}">
    <vt:lpwstr>Mitarbeiter*in</vt:lpwstr>
  </property>
  <property name="FSC#BDBCFG@15.1700:VS-NfD" pid="14" fmtid="{D5CDD505-2E9C-101B-9397-08002B2CF9AE}">
    <vt:lpwstr/>
  </property>
  <property name="FSC#BDBCFG@15.1700:dpaddrdate" pid="15" fmtid="{D5CDD505-2E9C-101B-9397-08002B2CF9AE}">
    <vt:lpwstr/>
  </property>
  <property name="FSC#BDBCFG@15.1700:SignApprobationBy" pid="16" fmtid="{D5CDD505-2E9C-101B-9397-08002B2CF9AE}">
    <vt:lpwstr/>
  </property>
  <property name="FSC#BDBCFG@15.1700:SignApprobationAt" pid="17" fmtid="{D5CDD505-2E9C-101B-9397-08002B2CF9AE}">
    <vt:lpwstr/>
  </property>
  <property name="FSC#BDBCFG@15.1700:SignApprobationByRole" pid="18" fmtid="{D5CDD505-2E9C-101B-9397-08002B2CF9AE}">
    <vt:lpwstr/>
  </property>
  <property name="FSC#BDBCFG@15.1700:SignApprobationByGroup" pid="19" fmtid="{D5CDD505-2E9C-101B-9397-08002B2CF9AE}">
    <vt:lpwstr/>
  </property>
  <property name="FSC#BDBCFG@15.1700:ProcRespOrgShort" pid="20" fmtid="{D5CDD505-2E9C-101B-9397-08002B2CF9AE}">
    <vt:lpwstr>III 1.3</vt:lpwstr>
  </property>
  <property name="FSC#COOELAK@1.1001:Subject" pid="21" fmtid="{D5CDD505-2E9C-101B-9397-08002B2CF9AE}">
    <vt:lpwstr/>
  </property>
  <property name="FSC#COOELAK@1.1001:FileReference" pid="22" fmtid="{D5CDD505-2E9C-101B-9397-08002B2CF9AE}">
    <vt:lpwstr>39 410/00039</vt:lpwstr>
  </property>
  <property name="FSC#COOELAK@1.1001:FileRefOU" pid="23" fmtid="{D5CDD505-2E9C-101B-9397-08002B2CF9AE}">
    <vt:lpwstr>III 1.3</vt:lpwstr>
  </property>
  <property name="FSC#COOELAK@1.1001:Owner" pid="24" fmtid="{D5CDD505-2E9C-101B-9397-08002B2CF9AE}">
    <vt:lpwstr>Litschko, Benjamin</vt:lpwstr>
  </property>
  <property name="FSC#COOELAK@1.1001:OwnerExtension" pid="25" fmtid="{D5CDD505-2E9C-101B-9397-08002B2CF9AE}">
    <vt:lpwstr/>
  </property>
  <property name="FSC#COOELAK@1.1001:OwnerFaxExtension" pid="26" fmtid="{D5CDD505-2E9C-101B-9397-08002B2CF9AE}">
    <vt:lpwstr/>
  </property>
  <property name="FSC#COOELAK@1.1001:DispatchedBy" pid="27" fmtid="{D5CDD505-2E9C-101B-9397-08002B2CF9AE}">
    <vt:lpwstr/>
  </property>
  <property name="FSC#COOELAK@1.1001:DispatchedAt" pid="28" fmtid="{D5CDD505-2E9C-101B-9397-08002B2CF9AE}">
    <vt:lpwstr/>
  </property>
  <property name="FSC#COOELAK@1.1001:CreatedAt" pid="29" fmtid="{D5CDD505-2E9C-101B-9397-08002B2CF9AE}">
    <vt:lpwstr>28.05.2025</vt:lpwstr>
  </property>
  <property name="FSC#COOELAK@1.1001:OU" pid="30" fmtid="{D5CDD505-2E9C-101B-9397-08002B2CF9AE}">
    <vt:lpwstr>III 1.3 (Fachgebiet III 1.3 - Ökodesign, Umweltkennzeichnung, umweltfreundliche Beschaffung)</vt:lpwstr>
  </property>
  <property name="FSC#COOELAK@1.1001:ObjBarCode" pid="31" fmtid="{D5CDD505-2E9C-101B-9397-08002B2CF9AE}">
    <vt:lpwstr>*COO.7174.100.3.1971425*</vt:lpwstr>
  </property>
  <property name="FSC#COOELAK@1.1001:RefBarCode" pid="32" fmtid="{D5CDD505-2E9C-101B-9397-08002B2CF9AE}">
    <vt:lpwstr>*COO.7174.100.4.1971426*</vt:lpwstr>
  </property>
  <property name="FSC#COOELAK@1.1001:FileRefBarCode" pid="33" fmtid="{D5CDD505-2E9C-101B-9397-08002B2CF9AE}">
    <vt:lpwstr>*39 410/00039*</vt:lpwstr>
  </property>
  <property name="FSC#COOELAK@1.1001:ExternalRef" pid="34" fmtid="{D5CDD505-2E9C-101B-9397-08002B2CF9AE}">
    <vt:lpwstr/>
  </property>
  <property name="FSC#COOELAK@1.1001:CurrentUserRolePos" pid="35" fmtid="{D5CDD505-2E9C-101B-9397-08002B2CF9AE}">
    <vt:lpwstr>Mitarbeiter*in</vt:lpwstr>
  </property>
  <property name="FSC#COOELAK@1.1001:CurrentUserEmail" pid="36" fmtid="{D5CDD505-2E9C-101B-9397-08002B2CF9AE}">
    <vt:lpwstr>martin.stallmann@uba.de</vt:lpwstr>
  </property>
  <property name="FSC#ATSTATECFG@1.1001:Office" pid="37" fmtid="{D5CDD505-2E9C-101B-9397-08002B2CF9AE}">
    <vt:lpwstr/>
  </property>
  <property name="FSC#ATSTATECFG@1.1001:SubfileDate" pid="38" fmtid="{D5CDD505-2E9C-101B-9397-08002B2CF9AE}">
    <vt:lpwstr>28.05.2025</vt:lpwstr>
  </property>
  <property name="FSC#ATSTATECFG@1.1001:SubfileSubject" pid="39" fmtid="{D5CDD505-2E9C-101B-9397-08002B2CF9AE}">
    <vt:lpwstr>Schulungsskript_x005f_LCC-CO2-Tool_x005f_v5_x005f_100-Desktop-PCs_x005f_3-Jahre</vt:lpwstr>
  </property>
  <property name="FSC#ATSTATECFG@1.1001:SubfileReference" pid="40" fmtid="{D5CDD505-2E9C-101B-9397-08002B2CF9AE}">
    <vt:lpwstr>39 410/00039#0015-0007</vt:lpwstr>
  </property>
  <property name="FSC#COOELAK@1.1001:replyreference" pid="41" fmtid="{D5CDD505-2E9C-101B-9397-08002B2CF9AE}">
    <vt:lpwstr/>
  </property>
  <property name="FSC#COOELAK@1.1001:FileRefOULong" pid="42" fmtid="{D5CDD505-2E9C-101B-9397-08002B2CF9AE}">
    <vt:lpwstr>Fachgebiet III 1.3 - Ökodesign, Umweltkennzeichnung, umweltfreundliche Beschaffung</vt:lpwstr>
  </property>
  <property name="FSC#FSCGOVDE@1.1001:ProcedureReference" pid="43" fmtid="{D5CDD505-2E9C-101B-9397-08002B2CF9AE}">
    <vt:lpwstr>39 410/00039#0015</vt:lpwstr>
  </property>
  <property name="FSC#FSCGOVDE@1.1001:FileSubject" pid="44" fmtid="{D5CDD505-2E9C-101B-9397-08002B2CF9AE}">
    <vt:lpwstr/>
  </property>
  <property name="FSC#FSCGOVDE@1.1001:ProcedureSubject" pid="45" fmtid="{D5CDD505-2E9C-101B-9397-08002B2CF9AE}">
    <vt:lpwstr/>
  </property>
  <property name="FSC#FSCGOVDE@1.1001:SignFinalVersionBy" pid="46" fmtid="{D5CDD505-2E9C-101B-9397-08002B2CF9AE}">
    <vt:lpwstr/>
  </property>
  <property name="FSC#FSCGOVDE@1.1001:SignFinalVersionAt" pid="47" fmtid="{D5CDD505-2E9C-101B-9397-08002B2CF9AE}">
    <vt:lpwstr/>
  </property>
  <property name="FSC#FSCGOVDE@1.1001:ProcedureRefBarCode" pid="48" fmtid="{D5CDD505-2E9C-101B-9397-08002B2CF9AE}">
    <vt:lpwstr>39 410/00039#0015</vt:lpwstr>
  </property>
  <property name="FSC#FSCGOVDE@1.1001:DocumentSubj" pid="49" fmtid="{D5CDD505-2E9C-101B-9397-08002B2CF9AE}">
    <vt:lpwstr>Schulungsskript_x005f_LCC-CO2-Tool_x005f_v5_x005f_100-Desktop-PCs_x005f_3-Jahre</vt:lpwstr>
  </property>
  <property name="FSC#DEPRECONFIG@15.1001:DocumentTitle" pid="50" fmtid="{D5CDD505-2E9C-101B-9397-08002B2CF9AE}">
    <vt:lpwstr>Schulungsskript_x005f_LCC-CO2-Tool_x005f_v5_x005f_100-Desktop-PCs_x005f_3-Jahre</vt:lpwstr>
  </property>
  <property name="FSC#DEPRECONFIG@15.1001:ProcedureTitle" pid="51" fmtid="{D5CDD505-2E9C-101B-9397-08002B2CF9AE}">
    <vt:lpwstr>Umweltfreundliche Beschaffung - Schulungsskript 2: Arbeitshilfe zur Berechnung von Lebenszykluskosten inklusive CO2-Kosten aufgrund der prognostizierten Treibhausgasemissionen in der öffentlichen Beschaffung (LCC-CO2-Tool)</vt:lpwstr>
  </property>
  <property name="FSC#DEPRECONFIG@15.1001:AuthorTitle" pid="52" fmtid="{D5CDD505-2E9C-101B-9397-08002B2CF9AE}">
    <vt:lpwstr/>
  </property>
  <property name="FSC#DEPRECONFIG@15.1001:AuthorSalution" pid="53" fmtid="{D5CDD505-2E9C-101B-9397-08002B2CF9AE}">
    <vt:lpwstr/>
  </property>
  <property name="FSC#DEPRECONFIG@15.1001:AuthorName" pid="54" fmtid="{D5CDD505-2E9C-101B-9397-08002B2CF9AE}">
    <vt:lpwstr>Benjamin Litschko</vt:lpwstr>
  </property>
  <property name="FSC#DEPRECONFIG@15.1001:AuthorMail" pid="55" fmtid="{D5CDD505-2E9C-101B-9397-08002B2CF9AE}">
    <vt:lpwstr>Benjamin.Litschko@uba.de</vt:lpwstr>
  </property>
  <property name="FSC#DEPRECONFIG@15.1001:AuthorTelephone" pid="56" fmtid="{D5CDD505-2E9C-101B-9397-08002B2CF9AE}">
    <vt:lpwstr/>
  </property>
  <property name="FSC#DEPRECONFIG@15.1001:AuthorFax" pid="57" fmtid="{D5CDD505-2E9C-101B-9397-08002B2CF9AE}">
    <vt:lpwstr/>
  </property>
  <property name="FSC#DEPRECONFIG@15.1001:AuthorOE" pid="58" fmtid="{D5CDD505-2E9C-101B-9397-08002B2CF9AE}">
    <vt:lpwstr>III 1.3 (Fachgebiet III 1.3 - Ökodesign, Umweltkennzeichnung, umweltfreundliche Beschaffung)</vt:lpwstr>
  </property>
</Properties>
</file>